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19440" windowHeight="9720"/>
  </bookViews>
  <sheets>
    <sheet name="Munka1" sheetId="1" r:id="rId1"/>
  </sheets>
  <definedNames>
    <definedName name="_xlnm.Print_Area" localSheetId="0">Munka1!$A$1:$Q$42</definedName>
  </definedNames>
  <calcPr calcId="145621"/>
</workbook>
</file>

<file path=xl/calcChain.xml><?xml version="1.0" encoding="utf-8"?>
<calcChain xmlns="http://schemas.openxmlformats.org/spreadsheetml/2006/main">
  <c r="Z37" i="1" l="1"/>
  <c r="Z36" i="1"/>
  <c r="Y38" i="1"/>
  <c r="X37" i="1"/>
  <c r="X36" i="1"/>
  <c r="W38" i="1"/>
  <c r="V40" i="1"/>
  <c r="V37" i="1"/>
  <c r="V36" i="1"/>
  <c r="U39" i="1"/>
  <c r="U38" i="1"/>
  <c r="S39" i="1"/>
  <c r="S38" i="1"/>
  <c r="R40" i="1"/>
  <c r="R37" i="1"/>
  <c r="R36" i="1"/>
  <c r="Z28" i="1"/>
  <c r="Z25" i="1"/>
  <c r="Z24" i="1"/>
  <c r="Y27" i="1"/>
  <c r="Y26" i="1"/>
  <c r="Y23" i="1"/>
  <c r="X28" i="1"/>
  <c r="X25" i="1"/>
  <c r="X24" i="1"/>
  <c r="W27" i="1"/>
  <c r="W26" i="1"/>
  <c r="W23" i="1"/>
  <c r="V28" i="1"/>
  <c r="V25" i="1"/>
  <c r="V24" i="1"/>
  <c r="V22" i="1"/>
  <c r="V21" i="1"/>
  <c r="U27" i="1"/>
  <c r="U26" i="1"/>
  <c r="U23" i="1"/>
  <c r="S27" i="1"/>
  <c r="S26" i="1"/>
  <c r="S23" i="1"/>
  <c r="R28" i="1"/>
  <c r="R25" i="1"/>
  <c r="R24" i="1"/>
  <c r="R22" i="1"/>
  <c r="R21" i="1"/>
  <c r="Q26" i="1"/>
  <c r="Q23" i="1"/>
  <c r="P28" i="1"/>
  <c r="P25" i="1"/>
  <c r="P24" i="1"/>
  <c r="P22" i="1"/>
  <c r="P21" i="1"/>
  <c r="O28" i="1"/>
  <c r="O25" i="1"/>
  <c r="O24" i="1"/>
  <c r="O22" i="1"/>
  <c r="O21" i="1"/>
  <c r="N26" i="1"/>
  <c r="N23" i="1"/>
  <c r="Z11" i="1"/>
  <c r="Z8" i="1"/>
  <c r="Z7" i="1"/>
  <c r="Y10" i="1"/>
  <c r="Y9" i="1"/>
  <c r="Y6" i="1"/>
  <c r="X11" i="1"/>
  <c r="X8" i="1"/>
  <c r="X7" i="1"/>
  <c r="W10" i="1"/>
  <c r="W9" i="1"/>
  <c r="W6" i="1"/>
  <c r="V11" i="1"/>
  <c r="V8" i="1"/>
  <c r="V7" i="1"/>
  <c r="V5" i="1"/>
  <c r="V4" i="1"/>
  <c r="U10" i="1"/>
  <c r="U9" i="1"/>
  <c r="U6" i="1"/>
  <c r="T7" i="1"/>
  <c r="S10" i="1"/>
  <c r="S9" i="1"/>
  <c r="S6" i="1"/>
  <c r="R11" i="1"/>
  <c r="R8" i="1"/>
  <c r="R7" i="1"/>
  <c r="R5" i="1"/>
  <c r="R4" i="1"/>
  <c r="Q10" i="1"/>
  <c r="Q9" i="1"/>
  <c r="Q6" i="1"/>
  <c r="P11" i="1"/>
  <c r="P8" i="1"/>
  <c r="P7" i="1"/>
  <c r="P5" i="1"/>
  <c r="P4" i="1"/>
  <c r="O11" i="1"/>
  <c r="O8" i="1"/>
  <c r="O5" i="1"/>
  <c r="O4" i="1"/>
  <c r="N10" i="1"/>
  <c r="N9" i="1"/>
  <c r="N6" i="1"/>
  <c r="P42" i="1"/>
  <c r="O42" i="1"/>
  <c r="N42" i="1"/>
  <c r="P30" i="1"/>
  <c r="O30" i="1"/>
  <c r="N30" i="1"/>
  <c r="P13" i="1"/>
  <c r="O13" i="1"/>
  <c r="N13" i="1"/>
  <c r="O7" i="1" l="1"/>
  <c r="Q42" i="1" l="1"/>
  <c r="Q30" i="1"/>
  <c r="Q13" i="1"/>
  <c r="N36" i="1"/>
  <c r="T36" i="1"/>
  <c r="P36" i="1"/>
  <c r="O36" i="1"/>
  <c r="H38" i="1"/>
  <c r="Y7" i="1"/>
  <c r="T24" i="1"/>
  <c r="R6" i="1"/>
  <c r="U11" i="1"/>
  <c r="Z40" i="1"/>
  <c r="Z39" i="1"/>
  <c r="Z38" i="1"/>
  <c r="Z35" i="1"/>
  <c r="Z34" i="1"/>
  <c r="Z33" i="1"/>
  <c r="Z27" i="1"/>
  <c r="Z26" i="1"/>
  <c r="Z23" i="1"/>
  <c r="Z22" i="1"/>
  <c r="Z21" i="1"/>
  <c r="Z10" i="1"/>
  <c r="Z9" i="1"/>
  <c r="Z6" i="1"/>
  <c r="Z5" i="1"/>
  <c r="Z4" i="1"/>
  <c r="Y36" i="1"/>
  <c r="W36" i="1"/>
  <c r="U36" i="1"/>
  <c r="S36" i="1"/>
  <c r="Q36" i="1"/>
  <c r="N21" i="1"/>
  <c r="N33" i="1"/>
  <c r="Y40" i="1"/>
  <c r="X40" i="1"/>
  <c r="W40" i="1"/>
  <c r="U40" i="1"/>
  <c r="T40" i="1"/>
  <c r="S40" i="1"/>
  <c r="Q40" i="1"/>
  <c r="P40" i="1"/>
  <c r="O40" i="1"/>
  <c r="N40" i="1"/>
  <c r="Y39" i="1"/>
  <c r="X39" i="1"/>
  <c r="W39" i="1"/>
  <c r="V39" i="1"/>
  <c r="T39" i="1"/>
  <c r="R39" i="1"/>
  <c r="Q39" i="1"/>
  <c r="P39" i="1"/>
  <c r="O39" i="1"/>
  <c r="N39" i="1"/>
  <c r="X38" i="1"/>
  <c r="V38" i="1"/>
  <c r="T38" i="1"/>
  <c r="R38" i="1"/>
  <c r="Q38" i="1"/>
  <c r="P38" i="1"/>
  <c r="O38" i="1"/>
  <c r="N38" i="1"/>
  <c r="Y37" i="1"/>
  <c r="W37" i="1"/>
  <c r="U37" i="1"/>
  <c r="T37" i="1"/>
  <c r="S37" i="1"/>
  <c r="Q37" i="1"/>
  <c r="P37" i="1"/>
  <c r="O37" i="1"/>
  <c r="N37" i="1"/>
  <c r="Y35" i="1"/>
  <c r="X35" i="1"/>
  <c r="W35" i="1"/>
  <c r="V35" i="1"/>
  <c r="U35" i="1"/>
  <c r="T35" i="1"/>
  <c r="S35" i="1"/>
  <c r="R35" i="1"/>
  <c r="Q35" i="1"/>
  <c r="P35" i="1"/>
  <c r="O35" i="1"/>
  <c r="N35" i="1"/>
  <c r="Y34" i="1"/>
  <c r="X34" i="1"/>
  <c r="W34" i="1"/>
  <c r="V34" i="1"/>
  <c r="U34" i="1"/>
  <c r="T34" i="1"/>
  <c r="S34" i="1"/>
  <c r="R34" i="1"/>
  <c r="Q34" i="1"/>
  <c r="P34" i="1"/>
  <c r="O34" i="1"/>
  <c r="N34" i="1"/>
  <c r="Y33" i="1"/>
  <c r="X33" i="1"/>
  <c r="W33" i="1"/>
  <c r="V33" i="1"/>
  <c r="U33" i="1"/>
  <c r="T33" i="1"/>
  <c r="S33" i="1"/>
  <c r="R33" i="1"/>
  <c r="Q33" i="1"/>
  <c r="P33" i="1"/>
  <c r="O33" i="1"/>
  <c r="C25" i="1"/>
  <c r="I38" i="1" s="1"/>
  <c r="C23" i="1"/>
  <c r="C29" i="1" s="1"/>
  <c r="E29" i="1" s="1"/>
  <c r="Y24" i="1"/>
  <c r="W24" i="1"/>
  <c r="U24" i="1"/>
  <c r="S24" i="1"/>
  <c r="Q24" i="1"/>
  <c r="N24" i="1"/>
  <c r="Y28" i="1"/>
  <c r="W28" i="1"/>
  <c r="U28" i="1"/>
  <c r="T28" i="1"/>
  <c r="S28" i="1"/>
  <c r="Q28" i="1"/>
  <c r="N28" i="1"/>
  <c r="X27" i="1"/>
  <c r="V27" i="1"/>
  <c r="T27" i="1"/>
  <c r="R27" i="1"/>
  <c r="Q27" i="1"/>
  <c r="P27" i="1"/>
  <c r="O27" i="1"/>
  <c r="N27" i="1"/>
  <c r="X26" i="1"/>
  <c r="V26" i="1"/>
  <c r="T26" i="1"/>
  <c r="R26" i="1"/>
  <c r="P26" i="1"/>
  <c r="O26" i="1"/>
  <c r="Y25" i="1"/>
  <c r="W25" i="1"/>
  <c r="U25" i="1"/>
  <c r="T25" i="1"/>
  <c r="S25" i="1"/>
  <c r="Q25" i="1"/>
  <c r="N25" i="1"/>
  <c r="X23" i="1"/>
  <c r="V23" i="1"/>
  <c r="T23" i="1"/>
  <c r="R23" i="1"/>
  <c r="P23" i="1"/>
  <c r="O23" i="1"/>
  <c r="Y22" i="1"/>
  <c r="X22" i="1"/>
  <c r="W22" i="1"/>
  <c r="U22" i="1"/>
  <c r="T22" i="1"/>
  <c r="S22" i="1"/>
  <c r="Q22" i="1"/>
  <c r="N22" i="1"/>
  <c r="Y21" i="1"/>
  <c r="X21" i="1"/>
  <c r="W21" i="1"/>
  <c r="U21" i="1"/>
  <c r="T21" i="1"/>
  <c r="S21" i="1"/>
  <c r="Q21" i="1"/>
  <c r="Y11" i="1"/>
  <c r="W11" i="1"/>
  <c r="T11" i="1"/>
  <c r="S11" i="1"/>
  <c r="Q11" i="1"/>
  <c r="N11" i="1"/>
  <c r="X10" i="1"/>
  <c r="V10" i="1"/>
  <c r="T10" i="1"/>
  <c r="R10" i="1"/>
  <c r="P10" i="1"/>
  <c r="O10" i="1"/>
  <c r="X9" i="1"/>
  <c r="V9" i="1"/>
  <c r="T9" i="1"/>
  <c r="R9" i="1"/>
  <c r="P9" i="1"/>
  <c r="O9" i="1"/>
  <c r="Y8" i="1"/>
  <c r="W8" i="1"/>
  <c r="U8" i="1"/>
  <c r="T8" i="1"/>
  <c r="S8" i="1"/>
  <c r="Q8" i="1"/>
  <c r="N8" i="1"/>
  <c r="K25" i="1"/>
  <c r="K23" i="1"/>
  <c r="K29" i="1" s="1"/>
  <c r="M29" i="1" s="1"/>
  <c r="U7" i="1"/>
  <c r="N7" i="1"/>
  <c r="W7" i="1"/>
  <c r="S7" i="1"/>
  <c r="Q7" i="1"/>
  <c r="X6" i="1"/>
  <c r="V6" i="1"/>
  <c r="T6" i="1"/>
  <c r="P6" i="1"/>
  <c r="O6" i="1"/>
  <c r="N5" i="1"/>
  <c r="Y5" i="1"/>
  <c r="X5" i="1"/>
  <c r="W5" i="1"/>
  <c r="U5" i="1"/>
  <c r="T5" i="1"/>
  <c r="S5" i="1"/>
  <c r="Q5" i="1"/>
  <c r="Y4" i="1"/>
  <c r="X4" i="1"/>
  <c r="W4" i="1"/>
  <c r="U4" i="1"/>
  <c r="T4" i="1"/>
  <c r="S4" i="1"/>
  <c r="Q4" i="1"/>
  <c r="N4" i="1"/>
  <c r="K6" i="1"/>
  <c r="L6" i="1" l="1"/>
  <c r="D23" i="1"/>
  <c r="E23" i="1" s="1"/>
  <c r="L23" i="1"/>
  <c r="M23" i="1" s="1"/>
  <c r="C27" i="1"/>
  <c r="E27" i="1" s="1"/>
  <c r="L8" i="1"/>
  <c r="D25" i="1"/>
  <c r="L25" i="1"/>
  <c r="M25" i="1" s="1"/>
  <c r="N31" i="1" s="1"/>
  <c r="K27" i="1"/>
  <c r="K8" i="1"/>
  <c r="K10" i="1" s="1"/>
  <c r="K12" i="1"/>
  <c r="M12" i="1" s="1"/>
  <c r="C31" i="1" l="1"/>
  <c r="E31" i="1" s="1"/>
  <c r="E25" i="1"/>
  <c r="K31" i="1"/>
  <c r="M31" i="1" s="1"/>
  <c r="M27" i="1"/>
  <c r="M8" i="1"/>
  <c r="N14" i="1" s="1"/>
  <c r="M6" i="1"/>
  <c r="M10" i="1"/>
  <c r="K14" i="1"/>
  <c r="M14" i="1" s="1"/>
  <c r="M33" i="1" l="1"/>
  <c r="E33" i="1"/>
  <c r="M16" i="1"/>
  <c r="F31" i="1"/>
</calcChain>
</file>

<file path=xl/comments1.xml><?xml version="1.0" encoding="utf-8"?>
<comments xmlns="http://schemas.openxmlformats.org/spreadsheetml/2006/main">
  <authors>
    <author>koltai györgy</author>
  </authors>
  <commentList>
    <comment ref="B5" authorId="0">
      <text>
        <r>
          <rPr>
            <b/>
            <sz val="9"/>
            <color indexed="81"/>
            <rFont val="Verdana"/>
            <family val="2"/>
            <charset val="238"/>
          </rPr>
          <t>A standard csavarkötésű állványok magasságát választhatja ki. Ezt szükséges megadni a merevítők kiszámolása miatt.</t>
        </r>
        <r>
          <rPr>
            <sz val="9"/>
            <color indexed="81"/>
            <rFont val="Verdana"/>
            <family val="2"/>
            <charset val="238"/>
          </rPr>
          <t xml:space="preserve">
</t>
        </r>
      </text>
    </comment>
    <comment ref="B7" authorId="0">
      <text>
        <r>
          <rPr>
            <b/>
            <sz val="9"/>
            <color indexed="81"/>
            <rFont val="Verdana"/>
            <family val="2"/>
            <charset val="238"/>
          </rPr>
          <t>Egy állványon belül az egymás fölé szerelt polcok számát kell megadni. Ebbe bele tartozik a legalsó polc, a legfelső polc, valamint az ezek közé szerelt polcok is. Egy átlagos 2m magas , irattárolsára használt állvány 6 db polcot tartalmaz.</t>
        </r>
        <r>
          <rPr>
            <sz val="9"/>
            <color indexed="81"/>
            <rFont val="Verdana"/>
            <family val="2"/>
            <charset val="238"/>
          </rPr>
          <t xml:space="preserve">
</t>
        </r>
      </text>
    </comment>
    <comment ref="B9" authorId="0">
      <text>
        <r>
          <rPr>
            <b/>
            <sz val="9"/>
            <color indexed="81"/>
            <rFont val="Verdana"/>
            <family val="2"/>
            <charset val="238"/>
          </rPr>
          <t>Alapállványnak nevezzük a 4 lábbal rendelkező állványokat. Ezek önmagukban is megállnak és alkalmasak arra, hogy a  soroló állványokat hozzá rögzítsük. Egy sort felépíthetünk egy alapállvány, és több soroló állvány felhasználásával, de az egész sort kialakíthatjuk csupa alapállványból is.</t>
        </r>
        <r>
          <rPr>
            <sz val="9"/>
            <color indexed="81"/>
            <rFont val="Verdana"/>
            <family val="2"/>
            <charset val="238"/>
          </rPr>
          <t xml:space="preserve">
</t>
        </r>
      </text>
    </comment>
    <comment ref="B11" authorId="0">
      <text>
        <r>
          <rPr>
            <b/>
            <sz val="9"/>
            <color indexed="81"/>
            <rFont val="Verdana"/>
            <family val="2"/>
            <charset val="238"/>
          </rPr>
          <t xml:space="preserve">Soroló állványnak nevezzük a 2 lábbal rendelkező állványokat. Ezek önmagukban nem állnak meg, hanem alapállványhoz csatlakoztathatók. Ha egy sorban legalább egy soroló állványt helyezünk, akkor legalább egy alapállványra is szükség van.
</t>
        </r>
      </text>
    </comment>
    <comment ref="B13" authorId="0">
      <text>
        <r>
          <rPr>
            <b/>
            <sz val="9"/>
            <color indexed="81"/>
            <rFont val="Verdana"/>
            <family val="2"/>
            <charset val="238"/>
          </rPr>
          <t xml:space="preserve">Állvány mélységét meghatározza, polcok összekötők, keretek mélységét
</t>
        </r>
      </text>
    </comment>
    <comment ref="B15" authorId="0">
      <text>
        <r>
          <rPr>
            <b/>
            <sz val="9"/>
            <color indexed="81"/>
            <rFont val="Verdana"/>
            <family val="2"/>
            <charset val="238"/>
          </rPr>
          <t xml:space="preserve">Állvány szélességét meghatározza, polcok,áthidalók szélességét
</t>
        </r>
      </text>
    </comment>
  </commentList>
</comments>
</file>

<file path=xl/sharedStrings.xml><?xml version="1.0" encoding="utf-8"?>
<sst xmlns="http://schemas.openxmlformats.org/spreadsheetml/2006/main" count="59" uniqueCount="37">
  <si>
    <t>Állvány magassága:</t>
  </si>
  <si>
    <t>Polcok száma egymás felett:</t>
  </si>
  <si>
    <t>Alapállványok száma:</t>
  </si>
  <si>
    <t>Soroló állványok száma:</t>
  </si>
  <si>
    <t>Mélység :</t>
  </si>
  <si>
    <t>Széllesség :</t>
  </si>
  <si>
    <t>Rendelését küldheti :</t>
  </si>
  <si>
    <t xml:space="preserve">Metaltechnik Hungary </t>
  </si>
  <si>
    <t>2335 Taksony Alkotmány u. 43</t>
  </si>
  <si>
    <t>E-mail : info@metaltechnik.hu</t>
  </si>
  <si>
    <t>Alap</t>
  </si>
  <si>
    <t>állvány</t>
  </si>
  <si>
    <t>Soroló</t>
  </si>
  <si>
    <t>Méretek miliméterben vannak megadva</t>
  </si>
  <si>
    <t>Láb :</t>
  </si>
  <si>
    <t>Polc</t>
  </si>
  <si>
    <t>Saroklemez</t>
  </si>
  <si>
    <t>Talplemez</t>
  </si>
  <si>
    <t>Csavar + Anya</t>
  </si>
  <si>
    <t>Menevezés</t>
  </si>
  <si>
    <t>db</t>
  </si>
  <si>
    <t>Egységár</t>
  </si>
  <si>
    <t>Összesen :</t>
  </si>
  <si>
    <t>Metaltechnik Webaruhaz</t>
  </si>
  <si>
    <t>Vagy webaruhazon keresztül :</t>
  </si>
  <si>
    <t>100/polc</t>
  </si>
  <si>
    <t>150/polc</t>
  </si>
  <si>
    <t>200/polc</t>
  </si>
  <si>
    <t>250/polc</t>
  </si>
  <si>
    <t>Ár 100 Kg/polc Teherbírás esetén</t>
  </si>
  <si>
    <t>Ár 150 Kg/polc Teherbírás esetén</t>
  </si>
  <si>
    <t>&lt;&lt;klikk ide</t>
  </si>
  <si>
    <t>Szállítást kér-e ? Igen esetén azt kell beírni, hogy hány km-re van Budapesttől Nem esetén hagyja üresen a négyzetet</t>
  </si>
  <si>
    <t>Szerelést kér-e Igen esetén azt kell beírni, hogy Igen. Nem esetén hagyja üresen a négyzetet.</t>
  </si>
  <si>
    <t>Ár 200 Kg/polc Teherbírás esetén</t>
  </si>
  <si>
    <t>Az Árak Áfa nélkül értendőek</t>
  </si>
  <si>
    <t>Tel : 24-487-128, Mobil : 06-70-394-2323, Fax: 06-24-998-674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</si>
</sst>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b/>
      <sz val="9"/>
      <color indexed="81"/>
      <name val="Verdana"/>
      <family val="2"/>
      <charset val="238"/>
    </font>
    <font>
      <sz val="9"/>
      <color indexed="8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Verdana"/>
      <family val="2"/>
      <charset val="238"/>
    </font>
    <font>
      <b/>
      <sz val="10"/>
      <name val="Verdana"/>
      <family val="2"/>
      <charset val="238"/>
    </font>
    <font>
      <b/>
      <sz val="14"/>
      <name val="Verdana"/>
      <family val="2"/>
      <charset val="238"/>
    </font>
    <font>
      <b/>
      <sz val="10"/>
      <color rgb="FFFF0000"/>
      <name val="Verdana"/>
      <family val="2"/>
      <charset val="238"/>
    </font>
    <font>
      <u/>
      <sz val="11"/>
      <color theme="10"/>
      <name val="Calibri"/>
      <family val="2"/>
      <charset val="238"/>
    </font>
    <font>
      <sz val="14"/>
      <name val="Verdana"/>
      <family val="2"/>
      <charset val="238"/>
    </font>
    <font>
      <sz val="20"/>
      <name val="Verdana"/>
      <family val="2"/>
      <charset val="238"/>
    </font>
    <font>
      <sz val="10"/>
      <color rgb="FFFF0000"/>
      <name val="Verdana"/>
      <family val="2"/>
      <charset val="238"/>
    </font>
    <font>
      <sz val="14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/>
    <xf numFmtId="0" fontId="6" fillId="2" borderId="0" xfId="0" applyFont="1" applyFill="1" applyBorder="1" applyAlignment="1" applyProtection="1">
      <alignment vertical="center"/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0" fontId="8" fillId="2" borderId="0" xfId="0" applyFont="1" applyFill="1" applyBorder="1" applyAlignment="1" applyProtection="1">
      <alignment vertical="center"/>
      <protection hidden="1"/>
    </xf>
    <xf numFmtId="43" fontId="1" fillId="2" borderId="0" xfId="1" applyFont="1" applyFill="1" applyBorder="1" applyAlignment="1" applyProtection="1">
      <alignment vertical="center"/>
      <protection hidden="1"/>
    </xf>
    <xf numFmtId="0" fontId="9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locked="0" hidden="1"/>
    </xf>
    <xf numFmtId="0" fontId="10" fillId="2" borderId="0" xfId="2" applyFill="1" applyBorder="1" applyAlignment="1" applyProtection="1">
      <alignment vertical="center"/>
      <protection hidden="1"/>
    </xf>
    <xf numFmtId="0" fontId="11" fillId="2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43" fontId="6" fillId="2" borderId="0" xfId="0" applyNumberFormat="1" applyFont="1" applyFill="1" applyBorder="1" applyAlignment="1" applyProtection="1">
      <alignment vertical="center"/>
      <protection hidden="1"/>
    </xf>
    <xf numFmtId="0" fontId="5" fillId="0" borderId="0" xfId="0" applyFont="1"/>
    <xf numFmtId="0" fontId="12" fillId="2" borderId="1" xfId="0" applyFont="1" applyFill="1" applyBorder="1" applyAlignment="1" applyProtection="1">
      <alignment horizontal="center" vertical="center"/>
      <protection locked="0"/>
    </xf>
    <xf numFmtId="43" fontId="7" fillId="2" borderId="0" xfId="1" applyFont="1" applyFill="1" applyBorder="1" applyAlignment="1" applyProtection="1">
      <alignment vertical="center"/>
      <protection hidden="1"/>
    </xf>
    <xf numFmtId="0" fontId="13" fillId="2" borderId="0" xfId="0" applyFont="1" applyFill="1" applyBorder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vertical="center"/>
      <protection hidden="1"/>
    </xf>
    <xf numFmtId="0" fontId="7" fillId="2" borderId="0" xfId="0" applyFont="1" applyFill="1" applyBorder="1" applyAlignment="1" applyProtection="1">
      <alignment horizontal="right" vertical="center"/>
      <protection hidden="1"/>
    </xf>
  </cellXfs>
  <cellStyles count="3">
    <cellStyle name="Ezres" xfId="1" builtinId="3"/>
    <cellStyle name="Hivatkozás" xfId="2" builtinId="8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59" dropStyle="combo" dx="16" fmlaLink="$D$5" fmlaRange="$A$1:$A$4" val="0"/>
</file>

<file path=xl/ctrlProps/ctrlProp2.xml><?xml version="1.0" encoding="utf-8"?>
<formControlPr xmlns="http://schemas.microsoft.com/office/spreadsheetml/2009/9/main" objectType="Drop" dropLines="59" dropStyle="combo" dx="16" fmlaLink="$D$7" fmlaRange="$A$5:$A$14" sel="4" val="0"/>
</file>

<file path=xl/ctrlProps/ctrlProp3.xml><?xml version="1.0" encoding="utf-8"?>
<formControlPr xmlns="http://schemas.microsoft.com/office/spreadsheetml/2009/9/main" objectType="Drop" dropLines="59" dropStyle="combo" dx="16" fmlaLink="$D$9" fmlaRange="$A$16:$A$45" val="0"/>
</file>

<file path=xl/ctrlProps/ctrlProp4.xml><?xml version="1.0" encoding="utf-8"?>
<formControlPr xmlns="http://schemas.microsoft.com/office/spreadsheetml/2009/9/main" objectType="Drop" dropLines="59" dropStyle="combo" dx="16" fmlaLink="$D$11" fmlaRange="$A$15:$A$45" sel="2" val="0"/>
</file>

<file path=xl/ctrlProps/ctrlProp5.xml><?xml version="1.0" encoding="utf-8"?>
<formControlPr xmlns="http://schemas.microsoft.com/office/spreadsheetml/2009/9/main" objectType="Drop" dropLines="59" dropStyle="combo" dx="16" fmlaLink="$D$13" fmlaRange="$A$46:$A$58" sel="6" val="0"/>
</file>

<file path=xl/ctrlProps/ctrlProp6.xml><?xml version="1.0" encoding="utf-8"?>
<formControlPr xmlns="http://schemas.microsoft.com/office/spreadsheetml/2009/9/main" objectType="Drop" dropLines="59" dropStyle="combo" dx="16" fmlaLink="$D$15" fmlaRange="$A$59:$A$66" sel="6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3</xdr:row>
      <xdr:rowOff>161925</xdr:rowOff>
    </xdr:from>
    <xdr:to>
      <xdr:col>6</xdr:col>
      <xdr:colOff>568325</xdr:colOff>
      <xdr:row>10</xdr:row>
      <xdr:rowOff>120650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15025" y="695325"/>
          <a:ext cx="6191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596900</xdr:colOff>
      <xdr:row>4</xdr:row>
      <xdr:rowOff>0</xdr:rowOff>
    </xdr:from>
    <xdr:to>
      <xdr:col>8</xdr:col>
      <xdr:colOff>158750</xdr:colOff>
      <xdr:row>11</xdr:row>
      <xdr:rowOff>9525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64300" y="482600"/>
          <a:ext cx="6159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</xdr:row>
          <xdr:rowOff>171450</xdr:rowOff>
        </xdr:from>
        <xdr:to>
          <xdr:col>4</xdr:col>
          <xdr:colOff>409575</xdr:colOff>
          <xdr:row>5</xdr:row>
          <xdr:rowOff>38100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</xdr:row>
          <xdr:rowOff>180975</xdr:rowOff>
        </xdr:from>
        <xdr:to>
          <xdr:col>4</xdr:col>
          <xdr:colOff>409575</xdr:colOff>
          <xdr:row>7</xdr:row>
          <xdr:rowOff>38100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180975</xdr:rowOff>
        </xdr:from>
        <xdr:to>
          <xdr:col>4</xdr:col>
          <xdr:colOff>390525</xdr:colOff>
          <xdr:row>9</xdr:row>
          <xdr:rowOff>38100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161925</xdr:rowOff>
        </xdr:from>
        <xdr:to>
          <xdr:col>4</xdr:col>
          <xdr:colOff>409575</xdr:colOff>
          <xdr:row>11</xdr:row>
          <xdr:rowOff>9525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171450</xdr:rowOff>
        </xdr:from>
        <xdr:to>
          <xdr:col>4</xdr:col>
          <xdr:colOff>409575</xdr:colOff>
          <xdr:row>13</xdr:row>
          <xdr:rowOff>28575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171450</xdr:rowOff>
        </xdr:from>
        <xdr:to>
          <xdr:col>4</xdr:col>
          <xdr:colOff>409575</xdr:colOff>
          <xdr:row>14</xdr:row>
          <xdr:rowOff>180975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lc-polcrendszer.hu/polcrendszerwebaruhaz/" TargetMode="External"/><Relationship Id="rId6" Type="http://schemas.openxmlformats.org/officeDocument/2006/relationships/ctrlProp" Target="../ctrlProps/ctrlProp2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905"/>
  <sheetViews>
    <sheetView tabSelected="1" zoomScale="68" zoomScaleNormal="68" workbookViewId="0">
      <pane ySplit="41" topLeftCell="A42" activePane="bottomLeft" state="frozen"/>
      <selection pane="bottomLeft" activeCell="C17" sqref="C17"/>
    </sheetView>
  </sheetViews>
  <sheetFormatPr defaultRowHeight="15" x14ac:dyDescent="0.25"/>
  <cols>
    <col min="1" max="1" width="2" customWidth="1"/>
    <col min="2" max="2" width="27.28515625" customWidth="1"/>
    <col min="3" max="3" width="17.28515625" customWidth="1"/>
    <col min="4" max="4" width="20.140625" customWidth="1"/>
    <col min="5" max="5" width="21.85546875" customWidth="1"/>
    <col min="6" max="6" width="3" customWidth="1"/>
    <col min="7" max="7" width="9.5703125" customWidth="1"/>
    <col min="8" max="8" width="6.28515625" customWidth="1"/>
    <col min="9" max="9" width="8.85546875" customWidth="1"/>
    <col min="10" max="10" width="18" customWidth="1"/>
    <col min="11" max="11" width="16.140625" customWidth="1"/>
    <col min="12" max="12" width="23.7109375" customWidth="1"/>
    <col min="13" max="13" width="21.140625" customWidth="1"/>
    <col min="14" max="14" width="9.42578125" bestFit="1" customWidth="1"/>
    <col min="15" max="15" width="11.140625" customWidth="1"/>
    <col min="16" max="16" width="9.42578125" bestFit="1" customWidth="1"/>
    <col min="17" max="17" width="9.28515625" bestFit="1" customWidth="1"/>
  </cols>
  <sheetData>
    <row r="1" spans="1:26" ht="0.75" customHeight="1" x14ac:dyDescent="0.25">
      <c r="A1" s="3">
        <v>2000</v>
      </c>
      <c r="B1" s="1"/>
      <c r="C1" s="1"/>
      <c r="D1" s="1"/>
      <c r="E1" s="1"/>
      <c r="F1" s="1"/>
      <c r="G1" s="1"/>
      <c r="H1" s="1"/>
      <c r="I1" s="1"/>
      <c r="K1" s="1"/>
      <c r="L1" s="1"/>
      <c r="M1" s="1"/>
      <c r="N1" s="1"/>
      <c r="O1" s="1"/>
      <c r="P1" s="3"/>
      <c r="Q1" s="3"/>
    </row>
    <row r="2" spans="1:26" ht="18" x14ac:dyDescent="0.25">
      <c r="A2" s="3">
        <v>2500</v>
      </c>
      <c r="B2" s="4" t="s">
        <v>13</v>
      </c>
      <c r="C2" s="1"/>
      <c r="D2" s="4" t="s">
        <v>35</v>
      </c>
      <c r="E2" s="4"/>
      <c r="F2" s="1"/>
      <c r="G2" s="1"/>
      <c r="H2" s="1"/>
      <c r="I2" s="1"/>
      <c r="J2" s="5" t="s">
        <v>29</v>
      </c>
      <c r="K2" s="1"/>
      <c r="L2" s="1"/>
      <c r="M2" s="1"/>
      <c r="N2" s="1"/>
      <c r="O2" s="1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6" customHeight="1" x14ac:dyDescent="0.25">
      <c r="A3" s="3">
        <v>3000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3">
        <v>4000</v>
      </c>
      <c r="B4" s="1"/>
      <c r="C4" s="1"/>
      <c r="D4" s="1"/>
      <c r="E4" s="1"/>
      <c r="F4" s="1"/>
      <c r="G4" s="1"/>
      <c r="H4" s="1"/>
      <c r="I4" s="1"/>
      <c r="J4" s="1" t="s">
        <v>19</v>
      </c>
      <c r="K4" s="1" t="s">
        <v>20</v>
      </c>
      <c r="L4" s="1" t="s">
        <v>21</v>
      </c>
      <c r="M4" s="1" t="s">
        <v>22</v>
      </c>
      <c r="N4" s="3">
        <f>IF(AND(D13=1,D15=1),0,0)</f>
        <v>0</v>
      </c>
      <c r="O4" s="3">
        <f>IF(AND($D$13=2,$D$15=1),1538,0)</f>
        <v>0</v>
      </c>
      <c r="P4" s="3">
        <f>IF(AND($D$13=3,$D$15=1),1729,0)</f>
        <v>0</v>
      </c>
      <c r="Q4" s="3">
        <f>IF(AND($D$13=4,$D$15=1),0,0)</f>
        <v>0</v>
      </c>
      <c r="R4" s="3">
        <f>IF(AND($D$13=5,$D$15=1),1909,0)</f>
        <v>0</v>
      </c>
      <c r="S4" s="3">
        <f>IF(AND($D$13=6,$D$15=1),0,0)</f>
        <v>0</v>
      </c>
      <c r="T4" s="3">
        <f>IF(AND($D$13=7,$D$15=1),0,0)</f>
        <v>0</v>
      </c>
      <c r="U4" s="3">
        <f>IF(AND($D$13=8,$D$15=1),0,0)</f>
        <v>0</v>
      </c>
      <c r="V4" s="3">
        <f>IF(AND($D$13=9,$D$15=1),2239,0)</f>
        <v>0</v>
      </c>
      <c r="W4" s="3">
        <f>IF(AND($D$13=10,$D$15=1),0,0)</f>
        <v>0</v>
      </c>
      <c r="X4" s="3">
        <f>IF(AND($D$13=11,$D$15=1),0,0)</f>
        <v>0</v>
      </c>
      <c r="Y4" s="3">
        <f>IF(AND($D$13=12,$D$15=1),0,0)</f>
        <v>0</v>
      </c>
      <c r="Z4" s="3">
        <f>IF(AND($D$13=13,$D$15=1),0,0)</f>
        <v>0</v>
      </c>
    </row>
    <row r="5" spans="1:26" x14ac:dyDescent="0.25">
      <c r="A5" s="3">
        <v>1</v>
      </c>
      <c r="B5" s="1" t="s">
        <v>0</v>
      </c>
      <c r="C5" s="8"/>
      <c r="D5" s="8">
        <v>1</v>
      </c>
      <c r="E5" s="1"/>
      <c r="F5" s="1"/>
      <c r="G5" s="1"/>
      <c r="H5" s="1"/>
      <c r="I5" s="1"/>
      <c r="J5" s="1"/>
      <c r="K5" s="1"/>
      <c r="L5" s="1"/>
      <c r="M5" s="1"/>
      <c r="N5" s="3">
        <f>IF(AND($D$13=1,$D$15=2),0,0)</f>
        <v>0</v>
      </c>
      <c r="O5" s="3">
        <f>IF(AND($D$13=2,$D$15=2),1591,0)</f>
        <v>0</v>
      </c>
      <c r="P5" s="3">
        <f>IF(AND($D$13=3,$D$15=2),1866,0)</f>
        <v>0</v>
      </c>
      <c r="Q5" s="3">
        <f>IF(AND($D$13=4,$D$15=2),0,0)</f>
        <v>0</v>
      </c>
      <c r="R5" s="3">
        <f>IF(AND($D$13=5,$D$15=2),2057,0)</f>
        <v>0</v>
      </c>
      <c r="S5" s="3">
        <f>IF(AND($D$13=6,$D$15=2),0,0)</f>
        <v>0</v>
      </c>
      <c r="T5" s="3">
        <f>IF(AND($D$13=7,$D$15=2),0,0)</f>
        <v>0</v>
      </c>
      <c r="U5" s="3">
        <f>IF(AND($D$13=8,$D$15=2),0,0)</f>
        <v>0</v>
      </c>
      <c r="V5" s="3">
        <f>IF(AND($D$13=9,$D$15=2),2430,0)</f>
        <v>0</v>
      </c>
      <c r="W5" s="3">
        <f>IF(AND($D$13=10,$D$15=2),0,0)</f>
        <v>0</v>
      </c>
      <c r="X5" s="3">
        <f>IF(AND($D$13=11,$D$15=2),0,0)</f>
        <v>0</v>
      </c>
      <c r="Y5" s="3">
        <f>IF(AND($D$13=12,$D$15=2),0,0)</f>
        <v>0</v>
      </c>
      <c r="Z5" s="3">
        <f>IF(AND($D$13=13,$D$15=2),0,0)</f>
        <v>0</v>
      </c>
    </row>
    <row r="6" spans="1:26" x14ac:dyDescent="0.25">
      <c r="A6" s="3">
        <v>2</v>
      </c>
      <c r="B6" s="1"/>
      <c r="C6" s="8"/>
      <c r="D6" s="8"/>
      <c r="E6" s="1"/>
      <c r="F6" s="1"/>
      <c r="G6" s="1"/>
      <c r="H6" s="1"/>
      <c r="I6" s="1"/>
      <c r="J6" s="1" t="s">
        <v>14</v>
      </c>
      <c r="K6" s="6">
        <f>D9*4+(D11-1)*2</f>
        <v>6</v>
      </c>
      <c r="L6" s="6">
        <f>SUM(N13:Q13)</f>
        <v>844</v>
      </c>
      <c r="M6" s="6">
        <f>K6*L6</f>
        <v>5064</v>
      </c>
      <c r="N6" s="3">
        <f>IF(AND($D$13=1,$D$15=3),1591,0)</f>
        <v>0</v>
      </c>
      <c r="O6" s="3">
        <f>IF(AND($D$13=2,$D$15=3),0,0)</f>
        <v>0</v>
      </c>
      <c r="P6" s="3">
        <f>IF(AND($D$13=3,$D$15=3),0,0)</f>
        <v>0</v>
      </c>
      <c r="Q6" s="3">
        <f>IF(AND($D$13=4,$D$15=3),1852,0)</f>
        <v>0</v>
      </c>
      <c r="R6" s="3">
        <f>IF(AND($D$13=5,$D$15=3),0,0)</f>
        <v>0</v>
      </c>
      <c r="S6" s="3">
        <f>IF(AND($D$13=6,$D$15=3),2034,0)</f>
        <v>0</v>
      </c>
      <c r="T6" s="3">
        <f>IF(AND($D$13=7,$D$15=3),0,0)</f>
        <v>0</v>
      </c>
      <c r="U6" s="3">
        <f>IF(AND($D$13=8,$D$15=3),2430,0)</f>
        <v>0</v>
      </c>
      <c r="V6" s="3">
        <f>IF(AND($D$13=9,$D$15=3),0,0)</f>
        <v>0</v>
      </c>
      <c r="W6" s="3">
        <f>IF(AND($D$13=10,$D$15=3),2730,0)</f>
        <v>0</v>
      </c>
      <c r="X6" s="3">
        <f>IF(AND($D$13=11,$D$15=3),0,0)</f>
        <v>0</v>
      </c>
      <c r="Y6" s="3">
        <f>IF(AND($D$13=12,$D$15=3),3035,0)</f>
        <v>0</v>
      </c>
      <c r="Z6" s="3">
        <f>IF(AND($D$13=13,$D$15=3),0,0)</f>
        <v>0</v>
      </c>
    </row>
    <row r="7" spans="1:26" x14ac:dyDescent="0.25">
      <c r="A7" s="3">
        <v>3</v>
      </c>
      <c r="B7" s="1" t="s">
        <v>1</v>
      </c>
      <c r="C7" s="8"/>
      <c r="D7" s="8">
        <v>4</v>
      </c>
      <c r="E7" s="1"/>
      <c r="F7" s="1"/>
      <c r="G7" s="1"/>
      <c r="H7" s="1"/>
      <c r="I7" s="1"/>
      <c r="J7" s="1"/>
      <c r="K7" s="6"/>
      <c r="L7" s="6"/>
      <c r="M7" s="6"/>
      <c r="N7" s="3">
        <f>IF(AND($D13=1,$D$15=4),0,0)</f>
        <v>0</v>
      </c>
      <c r="O7" s="3">
        <f>IF(AND($D13=2,$D$15=4),1310,0)</f>
        <v>0</v>
      </c>
      <c r="P7" s="3">
        <f>IF(AND($D13=3,$D$15=4),1565,0)</f>
        <v>0</v>
      </c>
      <c r="Q7" s="3">
        <f>IF(AND($D13=4,$D$15=4),0,0)</f>
        <v>0</v>
      </c>
      <c r="R7" s="3">
        <f>IF(AND($D13=5,$D$15=4),1665,0)</f>
        <v>0</v>
      </c>
      <c r="S7" s="3">
        <f>IF(AND($D13=6,$D$15=4),0,0)</f>
        <v>0</v>
      </c>
      <c r="T7" s="3">
        <f>IF(AND($D13=7,$D$15=4),1843,0)</f>
        <v>0</v>
      </c>
      <c r="U7" s="3">
        <f>IF(AND($D13=8,$D$15=4),0,0)</f>
        <v>0</v>
      </c>
      <c r="V7" s="3">
        <f>IF(AND($D13=9,$D$15=4),2548,0)</f>
        <v>0</v>
      </c>
      <c r="W7" s="3">
        <f>IF(AND($D13=10,$D$15=4),0,0)</f>
        <v>0</v>
      </c>
      <c r="X7" s="3">
        <f>IF(AND($D13=11,$D$15=4),3276,0)</f>
        <v>0</v>
      </c>
      <c r="Y7" s="3">
        <f>IF(AND($D13=12,$D$15=4),0,0)</f>
        <v>0</v>
      </c>
      <c r="Z7" s="3">
        <f>IF(AND($D13=13,$D$15=4),3785,0)</f>
        <v>0</v>
      </c>
    </row>
    <row r="8" spans="1:26" x14ac:dyDescent="0.25">
      <c r="A8" s="3">
        <v>4</v>
      </c>
      <c r="B8" s="1"/>
      <c r="C8" s="8"/>
      <c r="D8" s="8"/>
      <c r="E8" s="1"/>
      <c r="F8" s="1"/>
      <c r="G8" s="1"/>
      <c r="H8" s="1"/>
      <c r="I8" s="1"/>
      <c r="J8" s="1" t="s">
        <v>15</v>
      </c>
      <c r="K8" s="6">
        <f>(D11-1+D9)*D7</f>
        <v>8</v>
      </c>
      <c r="L8" s="6">
        <f>SUM(N4:Z11)</f>
        <v>2248</v>
      </c>
      <c r="M8" s="6">
        <f t="shared" ref="M8:M14" si="0">K8*L8</f>
        <v>17984</v>
      </c>
      <c r="N8" s="3">
        <f>IF(AND($D$13=1,$D$15=5),0,0)</f>
        <v>0</v>
      </c>
      <c r="O8" s="3">
        <f>IF(AND($D$13=2,$D$15=5),1764,0)</f>
        <v>0</v>
      </c>
      <c r="P8" s="3">
        <f>IF(AND($D$13=3,$D$15=5),2067,0)</f>
        <v>0</v>
      </c>
      <c r="Q8" s="3">
        <f>IF(AND($D$13=4,$D$15=5),0,0)</f>
        <v>0</v>
      </c>
      <c r="R8" s="3">
        <f>IF(AND($D$13=5,$D$15=5),2188,0)</f>
        <v>0</v>
      </c>
      <c r="S8" s="3">
        <f>IF(AND($D$13=6,$D$15=5),0,0)</f>
        <v>0</v>
      </c>
      <c r="T8" s="3">
        <f>IF(AND($D$13=7,$D$15=5),0,0)</f>
        <v>0</v>
      </c>
      <c r="U8" s="3">
        <f>IF(AND($D$13=8,$D$15=5),0,0)</f>
        <v>0</v>
      </c>
      <c r="V8" s="3">
        <f>IF(AND($D$13=9,$D$15=5),2776,0)</f>
        <v>0</v>
      </c>
      <c r="W8" s="3">
        <f>IF(AND($D$13=10,$D$15=5),0,0)</f>
        <v>0</v>
      </c>
      <c r="X8" s="3">
        <f>IF(AND($D$13=11,$D$15=5),3518,0)</f>
        <v>0</v>
      </c>
      <c r="Y8" s="3">
        <f>IF(AND($D$13=12,$D$15=5),0,0)</f>
        <v>0</v>
      </c>
      <c r="Z8" s="3">
        <f>IF(AND($D$13=13,$D$15=5),3951,0)</f>
        <v>0</v>
      </c>
    </row>
    <row r="9" spans="1:26" x14ac:dyDescent="0.25">
      <c r="A9" s="3">
        <v>5</v>
      </c>
      <c r="B9" s="1" t="s">
        <v>2</v>
      </c>
      <c r="C9" s="8"/>
      <c r="D9" s="8">
        <v>1</v>
      </c>
      <c r="E9" s="1"/>
      <c r="F9" s="1"/>
      <c r="G9" s="1"/>
      <c r="H9" s="1"/>
      <c r="I9" s="1"/>
      <c r="J9" s="1"/>
      <c r="K9" s="6"/>
      <c r="L9" s="6"/>
      <c r="M9" s="6"/>
      <c r="N9" s="3">
        <f>IF(AND($D$13=1,$D$15=6),1820,0)</f>
        <v>0</v>
      </c>
      <c r="O9" s="3">
        <f>IF(AND($D$13=2,$D$15=6),0,0)</f>
        <v>0</v>
      </c>
      <c r="P9" s="3">
        <f>IF(AND($D$13=3,$D$15=6),0,0)</f>
        <v>0</v>
      </c>
      <c r="Q9" s="3">
        <f>IF(AND($D$13=4,$D$15=6),2125,0)</f>
        <v>0</v>
      </c>
      <c r="R9" s="3">
        <f>IF(AND($D$13=5,$D$15=6),0,0)</f>
        <v>0</v>
      </c>
      <c r="S9" s="3">
        <f>IF(AND($D$13=6,$D$15=6),2248,0)</f>
        <v>2248</v>
      </c>
      <c r="T9" s="3">
        <f>IF(AND($D$13=7,$D$15=6),0,0)</f>
        <v>0</v>
      </c>
      <c r="U9" s="3">
        <f>IF(AND($D$13=8,$D$15=6),2830,0)</f>
        <v>0</v>
      </c>
      <c r="V9" s="3">
        <f>IF(AND($D$13=9,$D$15=6),0,0)</f>
        <v>0</v>
      </c>
      <c r="W9" s="3">
        <f>IF(AND($D$13=10,$D$15=6),3544,0)</f>
        <v>0</v>
      </c>
      <c r="X9" s="3">
        <f>IF(AND($D$13=11,$D$15=6),0,0)</f>
        <v>0</v>
      </c>
      <c r="Y9" s="3">
        <f>IF(AND($D$13=12,$D$15=6),3731,0)</f>
        <v>0</v>
      </c>
      <c r="Z9" s="3">
        <f>IF(AND($D$13=13,$D$15=6),0,0)</f>
        <v>0</v>
      </c>
    </row>
    <row r="10" spans="1:26" x14ac:dyDescent="0.25">
      <c r="A10" s="3">
        <v>6</v>
      </c>
      <c r="B10" s="1"/>
      <c r="C10" s="8"/>
      <c r="D10" s="8"/>
      <c r="E10" s="1"/>
      <c r="F10" s="1"/>
      <c r="G10" s="1"/>
      <c r="H10" s="1"/>
      <c r="I10" s="1"/>
      <c r="J10" s="1" t="s">
        <v>16</v>
      </c>
      <c r="K10" s="6">
        <f>K8*4</f>
        <v>32</v>
      </c>
      <c r="L10" s="6">
        <v>23</v>
      </c>
      <c r="M10" s="6">
        <f t="shared" si="0"/>
        <v>736</v>
      </c>
      <c r="N10" s="3">
        <f>IF(AND($D$13=1,$D$15=7),2334,0)</f>
        <v>0</v>
      </c>
      <c r="O10" s="3">
        <f>IF(AND($D$13=2,$D$15=7),0,0)</f>
        <v>0</v>
      </c>
      <c r="P10" s="3">
        <f>IF(AND($D$13=3,$D$15=7),0,0)</f>
        <v>0</v>
      </c>
      <c r="Q10" s="3">
        <f>IF(AND($D$13=4,$D$15=7),2662,0)</f>
        <v>0</v>
      </c>
      <c r="R10" s="3">
        <f>IF(AND($D$13=5,$D$15=7),0,0)</f>
        <v>0</v>
      </c>
      <c r="S10" s="3">
        <f>IF(AND($D$13=6,$D$15=7),2998,0)</f>
        <v>0</v>
      </c>
      <c r="T10" s="3">
        <f>IF(AND($D$13=7,$D$15=7),0,0)</f>
        <v>0</v>
      </c>
      <c r="U10" s="3">
        <f>IF(AND($D$13=8,$D$15=7),3640,0)</f>
        <v>0</v>
      </c>
      <c r="V10" s="3">
        <f>IF(AND($D$13=9,$D$15=7),0,0)</f>
        <v>0</v>
      </c>
      <c r="W10" s="3">
        <f>IF(AND($D$13=10,$D$15=7),4395,0)</f>
        <v>0</v>
      </c>
      <c r="X10" s="3">
        <f>IF(AND($D$13=11,$D$15=7),0,0)</f>
        <v>0</v>
      </c>
      <c r="Y10" s="3">
        <f>IF(AND($D$13=12,$D$15=7),4996,0)</f>
        <v>0</v>
      </c>
      <c r="Z10" s="3">
        <f>IF(AND($D$13=13,$D$15=7),0,0)</f>
        <v>0</v>
      </c>
    </row>
    <row r="11" spans="1:26" x14ac:dyDescent="0.25">
      <c r="A11" s="3">
        <v>7</v>
      </c>
      <c r="B11" s="1" t="s">
        <v>3</v>
      </c>
      <c r="C11" s="8"/>
      <c r="D11" s="8">
        <v>2</v>
      </c>
      <c r="E11" s="1"/>
      <c r="F11" s="1"/>
      <c r="G11" s="1"/>
      <c r="H11" s="1"/>
      <c r="I11" s="1"/>
      <c r="J11" s="1"/>
      <c r="K11" s="6"/>
      <c r="L11" s="6"/>
      <c r="M11" s="6"/>
      <c r="N11" s="3">
        <f>IF(AND($D$13=1,$D$15=8),0,0)</f>
        <v>0</v>
      </c>
      <c r="O11" s="3">
        <f>IF(AND($D$13=2,$D$15=8),2334,0)</f>
        <v>0</v>
      </c>
      <c r="P11" s="3">
        <f>IF(AND($D$13=3,$D$15=8),2619,0)</f>
        <v>0</v>
      </c>
      <c r="Q11" s="3">
        <f>IF(AND($D$13=4,$D$15=8),0,0)</f>
        <v>0</v>
      </c>
      <c r="R11" s="3">
        <f>IF(AND($D$13=5,$D$15=8),2991,0)</f>
        <v>0</v>
      </c>
      <c r="S11" s="3">
        <f>IF(AND($D$13=6,$D$15=8),0,0)</f>
        <v>0</v>
      </c>
      <c r="T11" s="3">
        <f>IF(AND($D$13=7,$D$15=8),0,0)</f>
        <v>0</v>
      </c>
      <c r="U11" s="3">
        <f>IF(AND($D$13=8,$D$15=8),0,0)</f>
        <v>0</v>
      </c>
      <c r="V11" s="3">
        <f>IF(AND($D$13=9,$D$15=8),3638,0)</f>
        <v>0</v>
      </c>
      <c r="W11" s="3">
        <f>IF(AND($D$13=10,$D$15=8),0,0)</f>
        <v>0</v>
      </c>
      <c r="X11" s="3">
        <f>IF(AND($D$13=11,$D$15=8),4374,0)</f>
        <v>0</v>
      </c>
      <c r="Y11" s="3">
        <f>IF(AND($D$13=12,$D$15=8),0,0)</f>
        <v>0</v>
      </c>
      <c r="Z11" s="3">
        <f>IF(AND($D$13=13,$D$15=8),4954,0)</f>
        <v>0</v>
      </c>
    </row>
    <row r="12" spans="1:26" x14ac:dyDescent="0.25">
      <c r="A12" s="3">
        <v>8</v>
      </c>
      <c r="B12" s="1"/>
      <c r="C12" s="8"/>
      <c r="D12" s="8"/>
      <c r="E12" s="1"/>
      <c r="F12" s="1"/>
      <c r="G12" s="1" t="s">
        <v>10</v>
      </c>
      <c r="H12" s="1" t="s">
        <v>12</v>
      </c>
      <c r="I12" s="1"/>
      <c r="J12" s="1" t="s">
        <v>17</v>
      </c>
      <c r="K12" s="6">
        <f>K6</f>
        <v>6</v>
      </c>
      <c r="L12" s="6">
        <v>104</v>
      </c>
      <c r="M12" s="6">
        <f t="shared" si="0"/>
        <v>624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3">
        <v>9</v>
      </c>
      <c r="B13" s="1" t="s">
        <v>4</v>
      </c>
      <c r="C13" s="8"/>
      <c r="D13" s="8">
        <v>6</v>
      </c>
      <c r="E13" s="1"/>
      <c r="F13" s="1"/>
      <c r="G13" s="1" t="s">
        <v>11</v>
      </c>
      <c r="H13" s="1" t="s">
        <v>11</v>
      </c>
      <c r="I13" s="1"/>
      <c r="J13" s="1"/>
      <c r="K13" s="6"/>
      <c r="L13" s="6"/>
      <c r="M13" s="6"/>
      <c r="N13" s="3">
        <f>IF(D5=1,844,0)</f>
        <v>844</v>
      </c>
      <c r="O13" s="3">
        <f>IF(D5=2,1297,0)</f>
        <v>0</v>
      </c>
      <c r="P13" s="3">
        <f>IF(D5=3,1615,0)</f>
        <v>0</v>
      </c>
      <c r="Q13" s="3">
        <f>IF(D5=4,0,0)</f>
        <v>0</v>
      </c>
      <c r="R13" s="3"/>
      <c r="S13" s="3"/>
      <c r="T13" s="3"/>
      <c r="U13" s="3"/>
      <c r="V13" s="3"/>
      <c r="W13" s="3"/>
      <c r="X13" s="3"/>
      <c r="Y13" s="3"/>
      <c r="Z13" s="3"/>
    </row>
    <row r="14" spans="1:26" ht="18" x14ac:dyDescent="0.25">
      <c r="A14" s="3">
        <v>10</v>
      </c>
      <c r="B14" s="1"/>
      <c r="C14" s="8"/>
      <c r="D14" s="8"/>
      <c r="E14" s="1"/>
      <c r="F14" s="1"/>
      <c r="G14" s="1"/>
      <c r="H14" s="1"/>
      <c r="I14" s="1"/>
      <c r="J14" s="1" t="s">
        <v>18</v>
      </c>
      <c r="K14" s="6">
        <f>K10*3+K12*2</f>
        <v>108</v>
      </c>
      <c r="L14" s="6">
        <v>11</v>
      </c>
      <c r="M14" s="6">
        <f t="shared" si="0"/>
        <v>1188</v>
      </c>
      <c r="N14" s="18" t="str">
        <f>IF(M8=0,"Nem kalkulálható","Jó kalkuláció ")</f>
        <v xml:space="preserve">Jó kalkuláció </v>
      </c>
      <c r="O14" s="1"/>
      <c r="P14" s="1"/>
      <c r="Q14" s="1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3">
        <v>0</v>
      </c>
      <c r="B15" s="1" t="s">
        <v>5</v>
      </c>
      <c r="C15" s="8"/>
      <c r="D15" s="8">
        <v>6</v>
      </c>
      <c r="E15" s="1"/>
      <c r="F15" s="1"/>
      <c r="G15" s="1"/>
      <c r="H15" s="1"/>
      <c r="I15" s="1"/>
      <c r="J15" s="1"/>
      <c r="K15" s="6"/>
      <c r="L15" s="6"/>
      <c r="M15" s="6"/>
      <c r="N15" s="1"/>
      <c r="O15" s="1"/>
      <c r="P15" s="1"/>
      <c r="Q15" s="1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thickBot="1" x14ac:dyDescent="0.3">
      <c r="A16" s="3">
        <v>1</v>
      </c>
      <c r="B16" s="1"/>
      <c r="C16" s="8"/>
      <c r="D16" s="8"/>
      <c r="E16" s="1"/>
      <c r="F16" s="1"/>
      <c r="G16" s="1"/>
      <c r="H16" s="1"/>
      <c r="I16" s="1"/>
      <c r="J16" s="5" t="s">
        <v>22</v>
      </c>
      <c r="K16" s="1"/>
      <c r="L16" s="1"/>
      <c r="M16" s="16">
        <f>SUM(M6:M14)+H38+I38</f>
        <v>25596</v>
      </c>
      <c r="N16" s="10"/>
      <c r="O16" s="1"/>
      <c r="P16" s="1"/>
      <c r="Q16" s="1"/>
      <c r="R16" s="3"/>
      <c r="S16" s="3"/>
      <c r="T16" s="3"/>
      <c r="U16" s="3"/>
      <c r="V16" s="3"/>
      <c r="W16" s="3"/>
      <c r="X16" s="3"/>
      <c r="Y16" s="3"/>
      <c r="Z16" s="3"/>
    </row>
    <row r="17" spans="1:26" ht="64.5" customHeight="1" thickBot="1" x14ac:dyDescent="0.3">
      <c r="A17" s="3">
        <v>2</v>
      </c>
      <c r="B17" s="12" t="s">
        <v>32</v>
      </c>
      <c r="C17" s="15"/>
      <c r="D17" s="12" t="s">
        <v>33</v>
      </c>
      <c r="E17" s="15"/>
      <c r="G17" s="1"/>
      <c r="H17" s="1"/>
      <c r="I17" s="1"/>
      <c r="J17" s="5"/>
      <c r="K17" s="1"/>
      <c r="L17" s="1"/>
      <c r="M17" s="6"/>
      <c r="N17" s="10"/>
      <c r="O17" s="1"/>
      <c r="P17" s="1"/>
      <c r="Q17" s="1"/>
      <c r="R17" s="3"/>
      <c r="S17" s="3"/>
      <c r="T17" s="3"/>
      <c r="U17" s="3"/>
      <c r="V17" s="3"/>
      <c r="W17" s="3"/>
      <c r="X17" s="3"/>
      <c r="Y17" s="3"/>
      <c r="Z17" s="3"/>
    </row>
    <row r="18" spans="1:26" ht="5.25" customHeight="1" x14ac:dyDescent="0.25">
      <c r="A18" s="3">
        <v>3</v>
      </c>
      <c r="C18" s="1"/>
      <c r="D18" s="1"/>
      <c r="E18" s="1"/>
      <c r="F18" s="1"/>
      <c r="G18" s="1"/>
      <c r="H18" s="1"/>
      <c r="I18" s="1"/>
      <c r="J18" s="5"/>
      <c r="K18" s="1"/>
      <c r="L18" s="1"/>
      <c r="M18" s="6"/>
      <c r="N18" s="10"/>
      <c r="O18" s="1"/>
      <c r="P18" s="1"/>
      <c r="Q18" s="1"/>
      <c r="R18" s="3"/>
      <c r="S18" s="3"/>
      <c r="T18" s="3"/>
      <c r="U18" s="3"/>
      <c r="V18" s="3"/>
      <c r="W18" s="3"/>
      <c r="X18" s="3"/>
      <c r="Y18" s="3"/>
      <c r="Z18" s="3"/>
    </row>
    <row r="19" spans="1:26" ht="18" x14ac:dyDescent="0.25">
      <c r="A19" s="3">
        <v>4</v>
      </c>
      <c r="B19" s="5" t="s">
        <v>34</v>
      </c>
      <c r="C19" s="1"/>
      <c r="D19" s="1"/>
      <c r="E19" s="1"/>
      <c r="F19" s="1"/>
      <c r="G19" s="1"/>
      <c r="H19" s="1"/>
      <c r="I19" s="1"/>
      <c r="J19" s="5" t="s">
        <v>30</v>
      </c>
      <c r="K19" s="1"/>
      <c r="L19" s="1"/>
      <c r="M19" s="1"/>
      <c r="N19" s="1"/>
      <c r="O19" s="1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5.25" customHeight="1" x14ac:dyDescent="0.25">
      <c r="A20" s="3">
        <v>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A21" s="3">
        <v>6</v>
      </c>
      <c r="B21" s="1" t="s">
        <v>19</v>
      </c>
      <c r="C21" s="1" t="s">
        <v>20</v>
      </c>
      <c r="D21" s="1" t="s">
        <v>21</v>
      </c>
      <c r="E21" s="1" t="s">
        <v>22</v>
      </c>
      <c r="F21" s="1"/>
      <c r="G21" s="1"/>
      <c r="H21" s="1"/>
      <c r="I21" s="1"/>
      <c r="J21" s="1" t="s">
        <v>19</v>
      </c>
      <c r="K21" s="1" t="s">
        <v>20</v>
      </c>
      <c r="L21" s="1" t="s">
        <v>21</v>
      </c>
      <c r="M21" s="1" t="s">
        <v>22</v>
      </c>
      <c r="N21" s="3">
        <f>IF(AND(D13=1,D15=1),0,0)</f>
        <v>0</v>
      </c>
      <c r="O21" s="3">
        <f>IF(AND($D$13=2,$D$15=1),1538,0)</f>
        <v>0</v>
      </c>
      <c r="P21" s="3">
        <f>IF(AND($D$13=3,$D$15=1),1729,0)</f>
        <v>0</v>
      </c>
      <c r="Q21" s="3">
        <f>IF(AND($D$13=4,$D$15=1),0,0)</f>
        <v>0</v>
      </c>
      <c r="R21" s="3">
        <f>IF(AND($D$13=5,$D$15=1),1909,0)</f>
        <v>0</v>
      </c>
      <c r="S21" s="3">
        <f>IF(AND($D$13=6,$D$15=1),0,0)</f>
        <v>0</v>
      </c>
      <c r="T21" s="3">
        <f>IF(AND($D$13=7,$D$15=1),0,0)</f>
        <v>0</v>
      </c>
      <c r="U21" s="3">
        <f>IF(AND($D$13=8,$D$15=1),0,0)</f>
        <v>0</v>
      </c>
      <c r="V21" s="3">
        <f>IF(AND($D$13=9,$D$15=1),2239,0)</f>
        <v>0</v>
      </c>
      <c r="W21" s="3">
        <f>IF(AND($D$13=10,$D$15=1),0,0)</f>
        <v>0</v>
      </c>
      <c r="X21" s="3">
        <f>IF(AND($D$13=11,$D$15=1),0,0)</f>
        <v>0</v>
      </c>
      <c r="Y21" s="3">
        <f>IF(AND($D$13=12,$D$15=1),0,0)</f>
        <v>0</v>
      </c>
      <c r="Z21" s="3">
        <f>IF(AND($D$13=13,$D$15=1),0,0)</f>
        <v>0</v>
      </c>
    </row>
    <row r="22" spans="1:26" ht="5.25" customHeight="1" x14ac:dyDescent="0.25">
      <c r="A22" s="3">
        <v>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">
        <f>IF(AND($D$13=1,$D$15=2),0,0)</f>
        <v>0</v>
      </c>
      <c r="O22" s="3">
        <f>IF(AND($D$13=2,$D$15=2),1591,0)</f>
        <v>0</v>
      </c>
      <c r="P22" s="3">
        <f>IF(AND($D$13=3,$D$15=2),1866,0)</f>
        <v>0</v>
      </c>
      <c r="Q22" s="3">
        <f>IF(AND($D$13=4,$D$15=2),0,0)</f>
        <v>0</v>
      </c>
      <c r="R22" s="3">
        <f>IF(AND($D$13=5,$D$15=2),2057,0)</f>
        <v>0</v>
      </c>
      <c r="S22" s="3">
        <f>IF(AND($D$13=6,$D$15=2),0,0)</f>
        <v>0</v>
      </c>
      <c r="T22" s="3">
        <f>IF(AND($D$13=7,$D$15=2),0,0)</f>
        <v>0</v>
      </c>
      <c r="U22" s="3">
        <f>IF(AND($D$13=8,$D$15=2),0,0)</f>
        <v>0</v>
      </c>
      <c r="V22" s="3">
        <f>IF(AND($D$13=9,$D$15=2),2430,0)</f>
        <v>0</v>
      </c>
      <c r="W22" s="3">
        <f>IF(AND($D$13=10,$D$15=2),0,0)</f>
        <v>0</v>
      </c>
      <c r="X22" s="3">
        <f>IF(AND($D$13=11,$D$15=2),0,0)</f>
        <v>0</v>
      </c>
      <c r="Y22" s="3">
        <f>IF(AND($D$13=12,$D$15=2),0,0)</f>
        <v>0</v>
      </c>
      <c r="Z22" s="3">
        <f>IF(AND($D$13=13,$D$15=2),0,0)</f>
        <v>0</v>
      </c>
    </row>
    <row r="23" spans="1:26" x14ac:dyDescent="0.25">
      <c r="A23" s="3">
        <v>8</v>
      </c>
      <c r="B23" s="1" t="s">
        <v>14</v>
      </c>
      <c r="C23" s="6">
        <f>D9*4+(D11-1)*2</f>
        <v>6</v>
      </c>
      <c r="D23" s="6">
        <f>SUM(N42:Q42)</f>
        <v>1297</v>
      </c>
      <c r="E23" s="6">
        <f>C23*D23</f>
        <v>7782</v>
      </c>
      <c r="F23" s="1"/>
      <c r="G23" s="1"/>
      <c r="H23" s="1"/>
      <c r="I23" s="1"/>
      <c r="J23" s="1" t="s">
        <v>14</v>
      </c>
      <c r="K23" s="6">
        <f>D9*4+(D11-1)*2</f>
        <v>6</v>
      </c>
      <c r="L23" s="6">
        <f>SUM(N30:Q30)</f>
        <v>1047</v>
      </c>
      <c r="M23" s="6">
        <f>K23*L23</f>
        <v>6282</v>
      </c>
      <c r="N23" s="3">
        <f>IF(AND($D$13=1,$D$15=3),1591,0)</f>
        <v>0</v>
      </c>
      <c r="O23" s="3">
        <f>IF(AND($D$13=2,$D$15=3),0,0)</f>
        <v>0</v>
      </c>
      <c r="P23" s="3">
        <f>IF(AND($D$13=3,$D$15=3),0,0)</f>
        <v>0</v>
      </c>
      <c r="Q23" s="3">
        <f>IF(AND($D$13=4,$D$15=3),1852,0)</f>
        <v>0</v>
      </c>
      <c r="R23" s="3">
        <f>IF(AND($D$13=5,$D$15=3),0,0)</f>
        <v>0</v>
      </c>
      <c r="S23" s="3">
        <f>IF(AND($D$13=6,$D$15=3),2034,0)</f>
        <v>0</v>
      </c>
      <c r="T23" s="3">
        <f>IF(AND($D$13=7,$D$15=3),0,0)</f>
        <v>0</v>
      </c>
      <c r="U23" s="3">
        <f>IF(AND($D$13=8,$D$15=3),2430,0)</f>
        <v>0</v>
      </c>
      <c r="V23" s="3">
        <f>IF(AND($D$13=9,$D$15=3),0,0)</f>
        <v>0</v>
      </c>
      <c r="W23" s="3">
        <f>IF(AND($D$13=10,$D$15=3),2730,0)</f>
        <v>0</v>
      </c>
      <c r="X23" s="3">
        <f>IF(AND($D$13=11,$D$15=3),0,0)</f>
        <v>0</v>
      </c>
      <c r="Y23" s="3">
        <f>IF(AND($D$13=12,$D$15=3),3035,0)</f>
        <v>0</v>
      </c>
      <c r="Z23" s="3">
        <f>IF(AND($D$13=13,$D$15=3),0,0)</f>
        <v>0</v>
      </c>
    </row>
    <row r="24" spans="1:26" ht="9.75" customHeight="1" x14ac:dyDescent="0.25">
      <c r="A24" s="3">
        <v>9</v>
      </c>
      <c r="B24" s="1"/>
      <c r="C24" s="6"/>
      <c r="D24" s="6"/>
      <c r="E24" s="6"/>
      <c r="F24" s="1"/>
      <c r="G24" s="1"/>
      <c r="H24" s="1"/>
      <c r="I24" s="1"/>
      <c r="J24" s="1"/>
      <c r="K24" s="6"/>
      <c r="L24" s="6"/>
      <c r="M24" s="6"/>
      <c r="N24" s="3">
        <f>IF(AND($D13=1,$D$15=4),0,0)</f>
        <v>0</v>
      </c>
      <c r="O24" s="3">
        <f>IF(AND($D13=2,$D$15=4),1638,0)</f>
        <v>0</v>
      </c>
      <c r="P24" s="3">
        <f>IF(AND($D13=3,$D$15=4),1957,0)</f>
        <v>0</v>
      </c>
      <c r="Q24" s="3">
        <f>IF(AND($D13=4,$D$15=4),0,0)</f>
        <v>0</v>
      </c>
      <c r="R24" s="3">
        <f>IF(AND($D13=5,$D$15=4),2084,0)</f>
        <v>0</v>
      </c>
      <c r="S24" s="3">
        <f>IF(AND($D13=6,$D$15=4),0,0)</f>
        <v>0</v>
      </c>
      <c r="T24" s="3">
        <f>IF(AND($D13=7,$D$15=4),0,0)</f>
        <v>0</v>
      </c>
      <c r="U24" s="3">
        <f>IF(AND($D13=8,$D$15=4),0,0)</f>
        <v>0</v>
      </c>
      <c r="V24" s="3">
        <f>IF(AND($D13=9,$D$15=4),2548,0)</f>
        <v>0</v>
      </c>
      <c r="W24" s="3">
        <f>IF(AND($D13=10,$D$15=4),0,0)</f>
        <v>0</v>
      </c>
      <c r="X24" s="3">
        <f>IF(AND($D13=11,$D$15=4),4168,0)</f>
        <v>0</v>
      </c>
      <c r="Y24" s="3">
        <f>IF(AND($D13=12,$D$15=4),0,0)</f>
        <v>0</v>
      </c>
      <c r="Z24" s="3">
        <f>IF(AND($D13=13,$D$15=4),4541,0)</f>
        <v>0</v>
      </c>
    </row>
    <row r="25" spans="1:26" x14ac:dyDescent="0.25">
      <c r="A25" s="3">
        <v>10</v>
      </c>
      <c r="B25" s="1" t="s">
        <v>15</v>
      </c>
      <c r="C25" s="6">
        <f>(D11-1+D9)*D7</f>
        <v>8</v>
      </c>
      <c r="D25" s="6">
        <f>SUM(N33:Z40)</f>
        <v>3777</v>
      </c>
      <c r="E25" s="6">
        <f t="shared" ref="E25" si="1">C25*D25</f>
        <v>30216</v>
      </c>
      <c r="F25" s="1"/>
      <c r="G25" s="1"/>
      <c r="H25" s="1"/>
      <c r="I25" s="1"/>
      <c r="J25" s="1" t="s">
        <v>15</v>
      </c>
      <c r="K25" s="6">
        <f>(D11-1+D9)*D7</f>
        <v>8</v>
      </c>
      <c r="L25" s="6">
        <f>SUM(N21:Z28)</f>
        <v>2248</v>
      </c>
      <c r="M25" s="6">
        <f t="shared" ref="M25" si="2">K25*L25</f>
        <v>17984</v>
      </c>
      <c r="N25" s="3">
        <f>IF(AND($D$13=1,$D$15=5),0,0)</f>
        <v>0</v>
      </c>
      <c r="O25" s="3">
        <f>IF(AND($D$13=2,$D$15=5),1764,0)</f>
        <v>0</v>
      </c>
      <c r="P25" s="3">
        <f>IF(AND($D$13=3,$D$15=5),2067,0)</f>
        <v>0</v>
      </c>
      <c r="Q25" s="3">
        <f>IF(AND($D$13=4,$D$15=5),0,0)</f>
        <v>0</v>
      </c>
      <c r="R25" s="3">
        <f>IF(AND($D$13=5,$D$15=5),2188,0)</f>
        <v>0</v>
      </c>
      <c r="S25" s="3">
        <f>IF(AND($D$13=6,$D$15=5),0,0)</f>
        <v>0</v>
      </c>
      <c r="T25" s="3">
        <f>IF(AND($D$13=7,$D$15=5),0,0)</f>
        <v>0</v>
      </c>
      <c r="U25" s="3">
        <f>IF(AND($D$13=8,$D$15=5),0,0)</f>
        <v>0</v>
      </c>
      <c r="V25" s="3">
        <f>IF(AND($D$13=9,$D$15=5),2776,0)</f>
        <v>0</v>
      </c>
      <c r="W25" s="3">
        <f>IF(AND($D$13=10,$D$15=5),0,0)</f>
        <v>0</v>
      </c>
      <c r="X25" s="3">
        <f>IF(AND($D$13=11,$D$15=5),4414,0)</f>
        <v>0</v>
      </c>
      <c r="Y25" s="3">
        <f>IF(AND($D$13=12,$D$15=5),0,0)</f>
        <v>0</v>
      </c>
      <c r="Z25" s="3">
        <f>IF(AND($D$13=13,$D$15=5),5041,0)</f>
        <v>0</v>
      </c>
    </row>
    <row r="26" spans="1:26" x14ac:dyDescent="0.25">
      <c r="A26" s="2">
        <v>11</v>
      </c>
      <c r="B26" s="1"/>
      <c r="C26" s="6"/>
      <c r="D26" s="6"/>
      <c r="E26" s="6"/>
      <c r="F26" s="1"/>
      <c r="G26" s="1"/>
      <c r="H26" s="1"/>
      <c r="I26" s="1"/>
      <c r="J26" s="1"/>
      <c r="K26" s="6"/>
      <c r="L26" s="6"/>
      <c r="M26" s="6"/>
      <c r="N26" s="3">
        <f>IF(AND($D$13=1,$D$15=6),1820,0)</f>
        <v>0</v>
      </c>
      <c r="O26" s="3">
        <f>IF(AND($D$13=2,$D$15=6),0,0)</f>
        <v>0</v>
      </c>
      <c r="P26" s="3">
        <f>IF(AND($D$13=3,$D$15=6),0,0)</f>
        <v>0</v>
      </c>
      <c r="Q26" s="3">
        <f>IF(AND($D$13=4,$D$15=6),2125,0)</f>
        <v>0</v>
      </c>
      <c r="R26" s="3">
        <f>IF(AND($D$13=5,$D$15=6),0,0)</f>
        <v>0</v>
      </c>
      <c r="S26" s="3">
        <f>IF(AND($D$13=6,$D$15=6),2248,0)</f>
        <v>2248</v>
      </c>
      <c r="T26" s="3">
        <f>IF(AND($D$13=7,$D$15=6),0,0)</f>
        <v>0</v>
      </c>
      <c r="U26" s="3">
        <f>IF(AND($D$13=8,$D$15=6),2830,0)</f>
        <v>0</v>
      </c>
      <c r="V26" s="3">
        <f>IF(AND($D$13=9,$D$15=6),0,0)</f>
        <v>0</v>
      </c>
      <c r="W26" s="3">
        <f>IF(AND($D$13=10,$D$15=6),4668,0)</f>
        <v>0</v>
      </c>
      <c r="X26" s="3">
        <f>IF(AND($D$13=11,$D$15=6),0,0)</f>
        <v>0</v>
      </c>
      <c r="Y26" s="3">
        <f>IF(AND($D$13=12,$D$15=6),5278,0)</f>
        <v>0</v>
      </c>
      <c r="Z26" s="3">
        <f>IF(AND($D$13=13,$D$15=6),0,0)</f>
        <v>0</v>
      </c>
    </row>
    <row r="27" spans="1:26" x14ac:dyDescent="0.25">
      <c r="A27" s="3">
        <v>12</v>
      </c>
      <c r="B27" s="1" t="s">
        <v>16</v>
      </c>
      <c r="C27" s="6">
        <f>C25*4</f>
        <v>32</v>
      </c>
      <c r="D27" s="6">
        <v>23</v>
      </c>
      <c r="E27" s="6">
        <f t="shared" ref="E27" si="3">C27*D27</f>
        <v>736</v>
      </c>
      <c r="F27" s="1"/>
      <c r="G27" s="1"/>
      <c r="H27" s="1"/>
      <c r="I27" s="1"/>
      <c r="J27" s="1" t="s">
        <v>16</v>
      </c>
      <c r="K27" s="6">
        <f>K25*4</f>
        <v>32</v>
      </c>
      <c r="L27" s="6">
        <v>23</v>
      </c>
      <c r="M27" s="6">
        <f t="shared" ref="M27" si="4">K27*L27</f>
        <v>736</v>
      </c>
      <c r="N27" s="3">
        <f>IF(AND($D$13=1,$D$15=7),0,0)</f>
        <v>0</v>
      </c>
      <c r="O27" s="3">
        <f>IF(AND($D$13=2,$D$15=7),0,0)</f>
        <v>0</v>
      </c>
      <c r="P27" s="3">
        <f>IF(AND($D$13=3,$D$15=7),0,0)</f>
        <v>0</v>
      </c>
      <c r="Q27" s="3">
        <f>IF(AND($D$13=4,$D$15=7),0,0)</f>
        <v>0</v>
      </c>
      <c r="R27" s="3">
        <f>IF(AND($D$13=5,$D$15=7),0,0)</f>
        <v>0</v>
      </c>
      <c r="S27" s="3">
        <f>IF(AND($D$13=6,$D$15=7),4122,0)</f>
        <v>0</v>
      </c>
      <c r="T27" s="3">
        <f>IF(AND($D$13=7,$D$15=7),0,0)</f>
        <v>0</v>
      </c>
      <c r="U27" s="3">
        <f>IF(AND($D$13=8,$D$15=7),4941,0)</f>
        <v>0</v>
      </c>
      <c r="V27" s="3">
        <f>IF(AND($D$13=9,$D$15=7),0,0)</f>
        <v>0</v>
      </c>
      <c r="W27" s="3">
        <f>IF(AND($D$13=10,$D$15=7),5460,0)</f>
        <v>0</v>
      </c>
      <c r="X27" s="3">
        <f>IF(AND($D$13=11,$D$15=7),0,0)</f>
        <v>0</v>
      </c>
      <c r="Y27" s="3">
        <f>IF(AND($D$13=12,$D$15=7),6070,0)</f>
        <v>0</v>
      </c>
      <c r="Z27" s="3">
        <f>IF(AND($D$13=13,$D$15=7),0,0)</f>
        <v>0</v>
      </c>
    </row>
    <row r="28" spans="1:26" x14ac:dyDescent="0.25">
      <c r="A28" s="3">
        <v>13</v>
      </c>
      <c r="B28" s="1"/>
      <c r="C28" s="6"/>
      <c r="D28" s="6"/>
      <c r="E28" s="6"/>
      <c r="F28" s="3"/>
      <c r="G28" s="1"/>
      <c r="H28" s="1"/>
      <c r="I28" s="1"/>
      <c r="J28" s="1"/>
      <c r="K28" s="6"/>
      <c r="L28" s="6"/>
      <c r="M28" s="6"/>
      <c r="N28" s="3">
        <f>IF(AND($D$13=1,$D$15=8),0,0)</f>
        <v>0</v>
      </c>
      <c r="O28" s="3">
        <f>IF(AND($D$13=2,$D$15=8),2334,0)</f>
        <v>0</v>
      </c>
      <c r="P28" s="3">
        <f>IF(AND($D$13=3,$D$15=8),2619,0)</f>
        <v>0</v>
      </c>
      <c r="Q28" s="3">
        <f>IF(AND($D$13=4,$D$15=8),0,0)</f>
        <v>0</v>
      </c>
      <c r="R28" s="3">
        <f>IF(AND($D$13=5,$D$15=8),2991,0)</f>
        <v>0</v>
      </c>
      <c r="S28" s="3">
        <f>IF(AND($D$13=6,$D$15=8),0,0)</f>
        <v>0</v>
      </c>
      <c r="T28" s="3">
        <f>IF(AND($D$13=7,$D$15=8),0,0)</f>
        <v>0</v>
      </c>
      <c r="U28" s="3">
        <f>IF(AND($D$13=8,$D$15=8),0,0)</f>
        <v>0</v>
      </c>
      <c r="V28" s="3">
        <f>IF(AND($D$13=9,$D$15=8),5633,0)</f>
        <v>0</v>
      </c>
      <c r="W28" s="3">
        <f>IF(AND($D$13=10,$D$15=8),0,0)</f>
        <v>0</v>
      </c>
      <c r="X28" s="3">
        <f>IF(AND($D$13=11,$D$15=8),6770,0)</f>
        <v>0</v>
      </c>
      <c r="Y28" s="3">
        <f>IF(AND($D$13=12,$D$15=8),0,0)</f>
        <v>0</v>
      </c>
      <c r="Z28" s="3">
        <f>IF(AND($D$13=13,$D$15=8),7662,0)</f>
        <v>0</v>
      </c>
    </row>
    <row r="29" spans="1:26" x14ac:dyDescent="0.25">
      <c r="A29" s="3">
        <v>14</v>
      </c>
      <c r="B29" s="1" t="s">
        <v>17</v>
      </c>
      <c r="C29" s="6">
        <f>C23</f>
        <v>6</v>
      </c>
      <c r="D29" s="6">
        <v>104</v>
      </c>
      <c r="E29" s="6">
        <f t="shared" ref="E29" si="5">C29*D29</f>
        <v>624</v>
      </c>
      <c r="F29" s="3"/>
      <c r="G29" s="1"/>
      <c r="H29" s="1"/>
      <c r="I29" s="1"/>
      <c r="J29" s="1" t="s">
        <v>17</v>
      </c>
      <c r="K29" s="6">
        <f>K23</f>
        <v>6</v>
      </c>
      <c r="L29" s="6">
        <v>104</v>
      </c>
      <c r="M29" s="6">
        <f t="shared" ref="M29" si="6">K29*L29</f>
        <v>624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5">
      <c r="A30" s="3">
        <v>15</v>
      </c>
      <c r="B30" s="1"/>
      <c r="C30" s="6"/>
      <c r="D30" s="6"/>
      <c r="E30" s="6"/>
      <c r="F30" s="3"/>
      <c r="G30" s="3"/>
      <c r="H30" s="3"/>
      <c r="I30" s="3"/>
      <c r="J30" s="1"/>
      <c r="K30" s="6"/>
      <c r="L30" s="6"/>
      <c r="M30" s="6"/>
      <c r="N30" s="3">
        <f>IF(D5=1,1047,0)</f>
        <v>1047</v>
      </c>
      <c r="O30" s="3">
        <f>IF(D5=2,1297,0)</f>
        <v>0</v>
      </c>
      <c r="P30" s="3">
        <f>IF(D5=3,1615,0)</f>
        <v>0</v>
      </c>
      <c r="Q30" s="3">
        <f>IF(D5=4,0,0)</f>
        <v>0</v>
      </c>
      <c r="R30" s="3"/>
      <c r="S30" s="3"/>
      <c r="T30" s="3"/>
      <c r="U30" s="3"/>
      <c r="V30" s="3"/>
      <c r="W30" s="3"/>
      <c r="X30" s="3"/>
      <c r="Y30" s="3"/>
      <c r="Z30" s="3"/>
    </row>
    <row r="31" spans="1:26" ht="18" x14ac:dyDescent="0.25">
      <c r="A31" s="3">
        <v>16</v>
      </c>
      <c r="B31" s="1" t="s">
        <v>18</v>
      </c>
      <c r="C31" s="6">
        <f>C27*3+C29*2</f>
        <v>108</v>
      </c>
      <c r="D31" s="6">
        <v>11</v>
      </c>
      <c r="E31" s="6">
        <f t="shared" ref="E31" si="7">C31*D31</f>
        <v>1188</v>
      </c>
      <c r="F31" s="18" t="str">
        <f>IF(E25=0,"Nem kalkulálható","Jó kalkuláció ")</f>
        <v xml:space="preserve">Jó kalkuláció </v>
      </c>
      <c r="G31" s="17"/>
      <c r="H31" s="3"/>
      <c r="I31" s="3"/>
      <c r="J31" s="1" t="s">
        <v>18</v>
      </c>
      <c r="K31" s="6">
        <f>K27*3+K29*2</f>
        <v>108</v>
      </c>
      <c r="L31" s="6">
        <v>11</v>
      </c>
      <c r="M31" s="6">
        <f t="shared" ref="M31" si="8">K31*L31</f>
        <v>1188</v>
      </c>
      <c r="N31" s="18" t="str">
        <f>IF(M25=0,"Nem kalkulálható","Jó kalkuláció ")</f>
        <v xml:space="preserve">Jó kalkuláció </v>
      </c>
      <c r="O31" s="1"/>
      <c r="P31" s="1"/>
      <c r="Q31" s="1"/>
      <c r="R31" s="3"/>
      <c r="S31" s="3"/>
      <c r="T31" s="3"/>
      <c r="U31" s="3"/>
      <c r="V31" s="3"/>
      <c r="W31" s="3"/>
      <c r="X31" s="3"/>
      <c r="Y31" s="3"/>
      <c r="Z31" s="3"/>
    </row>
    <row r="32" spans="1:26" ht="5.25" customHeight="1" x14ac:dyDescent="0.25">
      <c r="A32" s="3">
        <v>17</v>
      </c>
      <c r="B32" s="1"/>
      <c r="C32" s="6"/>
      <c r="D32" s="6"/>
      <c r="E32" s="6"/>
      <c r="F32" s="3"/>
      <c r="G32" s="3"/>
      <c r="H32" s="3"/>
      <c r="I32" s="3"/>
      <c r="J32" s="1"/>
      <c r="K32" s="6"/>
      <c r="L32" s="6"/>
      <c r="M32" s="6"/>
      <c r="N32" s="1"/>
      <c r="O32" s="1"/>
      <c r="P32" s="1"/>
      <c r="Q32" s="1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3">
        <v>18</v>
      </c>
      <c r="B33" s="5" t="s">
        <v>22</v>
      </c>
      <c r="C33" s="1"/>
      <c r="D33" s="1"/>
      <c r="E33" s="16">
        <f>SUM(E23:E31)+H38+I38</f>
        <v>40546</v>
      </c>
      <c r="F33" s="3"/>
      <c r="G33" s="3"/>
      <c r="H33" s="3"/>
      <c r="I33" s="3"/>
      <c r="J33" s="5" t="s">
        <v>22</v>
      </c>
      <c r="K33" s="1"/>
      <c r="L33" s="1"/>
      <c r="M33" s="16">
        <f>SUM(M23:M31)+H38+I38</f>
        <v>26814</v>
      </c>
      <c r="N33" s="3">
        <f>IF(AND($D$13=1,$D$15=1),0,0)</f>
        <v>0</v>
      </c>
      <c r="O33" s="3">
        <f>IF(AND($D$13=2,$D$15=1),0,0)</f>
        <v>0</v>
      </c>
      <c r="P33" s="3">
        <f>IF(AND($D$13=3,$D$15=1),0,0)</f>
        <v>0</v>
      </c>
      <c r="Q33" s="3">
        <f>IF(AND($D$13=4,$D$15=1),0,0)</f>
        <v>0</v>
      </c>
      <c r="R33" s="3">
        <f>IF(AND($D$13=5,$D$15=1),0,0)</f>
        <v>0</v>
      </c>
      <c r="S33" s="3">
        <f>IF(AND($D$13=6,$D$15=1),0,0)</f>
        <v>0</v>
      </c>
      <c r="T33" s="3">
        <f>IF(AND($D$13=7,$D$15=1),0,0)</f>
        <v>0</v>
      </c>
      <c r="U33" s="3">
        <f>IF(AND($D$13=8,$D$15=1),0,0)</f>
        <v>0</v>
      </c>
      <c r="V33" s="3">
        <f>IF(AND($D$13=9,$D$15=1),0,0)</f>
        <v>0</v>
      </c>
      <c r="W33" s="3">
        <f>IF(AND($D$13=10,$D$15=1),0,0)</f>
        <v>0</v>
      </c>
      <c r="X33" s="3">
        <f>IF(AND($D$13=11,$D$15=1),0,0)</f>
        <v>0</v>
      </c>
      <c r="Y33" s="3">
        <f>IF(AND($D$13=12,$D$15=1),0,0)</f>
        <v>0</v>
      </c>
      <c r="Z33" s="3">
        <f>IF(AND($D$13=13,$D$15=1),0,0)</f>
        <v>0</v>
      </c>
    </row>
    <row r="34" spans="1:26" ht="3" customHeight="1" x14ac:dyDescent="0.25">
      <c r="A34" s="3">
        <v>19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>
        <f>IF(AND($D$13=1,$D$15=2),0,0)</f>
        <v>0</v>
      </c>
      <c r="O34" s="3">
        <f>IF(AND($D$13=2,$D$15=2),0,0)</f>
        <v>0</v>
      </c>
      <c r="P34" s="3">
        <f>IF(AND($D$13=3,$D$15=2),0,0)</f>
        <v>0</v>
      </c>
      <c r="Q34" s="3">
        <f>IF(AND($D$13=4,$D$15=2),0,0)</f>
        <v>0</v>
      </c>
      <c r="R34" s="3">
        <f>IF(AND($D$13=5,$D$15=2),0,0)</f>
        <v>0</v>
      </c>
      <c r="S34" s="3">
        <f>IF(AND($D$13=6,$D$15=2),0,0)</f>
        <v>0</v>
      </c>
      <c r="T34" s="3">
        <f>IF(AND($D$13=7,$D$15=2),0,0)</f>
        <v>0</v>
      </c>
      <c r="U34" s="3">
        <f>IF(AND($D$13=8,$D$15=2),0,0)</f>
        <v>0</v>
      </c>
      <c r="V34" s="3">
        <f>IF(AND($D$13=9,$D$15=2),0,0)</f>
        <v>0</v>
      </c>
      <c r="W34" s="3">
        <f>IF(AND($D$13=10,$D$15=2),0,0)</f>
        <v>0</v>
      </c>
      <c r="X34" s="3">
        <f>IF(AND($D$13=11,$D$15=2),0,0)</f>
        <v>0</v>
      </c>
      <c r="Y34" s="3">
        <f>IF(AND($D$13=12,$D$15=2),0,0)</f>
        <v>0</v>
      </c>
      <c r="Z34" s="3">
        <f>IF(AND($D$13=13,$D$15=2),0,0)</f>
        <v>0</v>
      </c>
    </row>
    <row r="35" spans="1:26" x14ac:dyDescent="0.25">
      <c r="A35" s="3">
        <v>20</v>
      </c>
      <c r="B35" s="7" t="s">
        <v>6</v>
      </c>
      <c r="C35" s="4" t="s">
        <v>7</v>
      </c>
      <c r="D35" s="3"/>
      <c r="E35" s="3"/>
      <c r="F35" s="3"/>
      <c r="G35" s="3"/>
      <c r="H35" s="3"/>
      <c r="J35" s="3"/>
      <c r="L35" s="11"/>
      <c r="N35" s="3">
        <f>IF(AND($D$13=1,$D$15=3),0,0)</f>
        <v>0</v>
      </c>
      <c r="O35" s="3">
        <f>IF(AND($D$13=2,$D$15=3),0,0)</f>
        <v>0</v>
      </c>
      <c r="P35" s="3">
        <f>IF(AND($D$13=3,$D$15=3),0,0)</f>
        <v>0</v>
      </c>
      <c r="Q35" s="3">
        <f>IF(AND($D$13=4,$D$15=3),0,0)</f>
        <v>0</v>
      </c>
      <c r="R35" s="3">
        <f>IF(AND($D$13=5,$D$15=3),0,0)</f>
        <v>0</v>
      </c>
      <c r="S35" s="3">
        <f>IF(AND($D$13=6,$D$15=3),0,0)</f>
        <v>0</v>
      </c>
      <c r="T35" s="3">
        <f>IF(AND($D$13=7,$D$15=3),0,0)</f>
        <v>0</v>
      </c>
      <c r="U35" s="3">
        <f>IF(AND($D$13=8,$D$15=3),0,0)</f>
        <v>0</v>
      </c>
      <c r="V35" s="3">
        <f>IF(AND($D$13=9,$D$15=3),0,0)</f>
        <v>0</v>
      </c>
      <c r="W35" s="3">
        <f>IF(AND($D$13=10,$D$15=3),0,0)</f>
        <v>0</v>
      </c>
      <c r="X35" s="3">
        <f>IF(AND($D$13=11,$D$15=3),0,0)</f>
        <v>0</v>
      </c>
      <c r="Y35" s="3">
        <f>IF(AND($D$13=12,$D$15=3),0,0)</f>
        <v>0</v>
      </c>
      <c r="Z35" s="3">
        <f>IF(AND($D$13=13,$D$15=3),0,0)</f>
        <v>0</v>
      </c>
    </row>
    <row r="36" spans="1:26" x14ac:dyDescent="0.25">
      <c r="A36" s="3">
        <v>21</v>
      </c>
      <c r="B36" s="3"/>
      <c r="C36" s="4" t="s">
        <v>8</v>
      </c>
      <c r="D36" s="3"/>
      <c r="E36" s="3"/>
      <c r="F36" s="3"/>
      <c r="G36" s="3"/>
      <c r="H36" s="3"/>
      <c r="I36" s="1" t="s">
        <v>24</v>
      </c>
      <c r="J36" s="3"/>
      <c r="K36" s="3"/>
      <c r="L36" s="9" t="s">
        <v>23</v>
      </c>
      <c r="M36" s="19" t="s">
        <v>31</v>
      </c>
      <c r="N36" s="3">
        <f>IF(AND($D13=1,$D$15=4),0,0)</f>
        <v>0</v>
      </c>
      <c r="O36" s="3">
        <f>IF(AND($D13=2,$D$15=4),0,0)</f>
        <v>0</v>
      </c>
      <c r="P36" s="3">
        <f>IF(AND($D13=3,$D$15=4),0,0)</f>
        <v>0</v>
      </c>
      <c r="Q36" s="3">
        <f>IF(AND($D13=4,$D$15=4),0,0)</f>
        <v>0</v>
      </c>
      <c r="R36" s="3">
        <f>IF(AND($D13=5,$D$15=4),2730,0)</f>
        <v>0</v>
      </c>
      <c r="S36" s="3">
        <f>IF(AND($D13=6,$D$15=4),0,0)</f>
        <v>0</v>
      </c>
      <c r="T36" s="3">
        <f>IF(AND($D13=7,$D$15=4),0,0)</f>
        <v>0</v>
      </c>
      <c r="U36" s="3">
        <f>IF(AND($D13=8,$D$15=4),0,0)</f>
        <v>0</v>
      </c>
      <c r="V36" s="3">
        <f>IF(AND($D13=9,$D$15=4),3403,0)</f>
        <v>0</v>
      </c>
      <c r="W36" s="3">
        <f>IF(AND($D13=10,$D$15=4),0,0)</f>
        <v>0</v>
      </c>
      <c r="X36" s="3">
        <f>IF(AND($D13=11,$D$15=4),4168,0)</f>
        <v>0</v>
      </c>
      <c r="Y36" s="3">
        <f>IF(AND($D13=12,$D$15=4),0,0)</f>
        <v>0</v>
      </c>
      <c r="Z36" s="3">
        <f>IF(AND($D13=13,$D$15=4),4541,0)</f>
        <v>0</v>
      </c>
    </row>
    <row r="37" spans="1:26" x14ac:dyDescent="0.25">
      <c r="A37" s="3">
        <v>22</v>
      </c>
      <c r="B37" s="3"/>
      <c r="C37" s="4" t="s">
        <v>36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>
        <f>IF(AND($D$13=1,$D$15=5),0,0)</f>
        <v>0</v>
      </c>
      <c r="O37" s="3">
        <f>IF(AND($D$13=2,$D$15=5),0,0)</f>
        <v>0</v>
      </c>
      <c r="P37" s="3">
        <f>IF(AND($D$13=3,$D$15=5),0,0)</f>
        <v>0</v>
      </c>
      <c r="Q37" s="3">
        <f>IF(AND($D$13=4,$D$15=5),0,0)</f>
        <v>0</v>
      </c>
      <c r="R37" s="3">
        <f>IF(AND($D$13=5,$D$15=5),2912,0)</f>
        <v>0</v>
      </c>
      <c r="S37" s="3">
        <f>IF(AND($D$13=6,$D$15=5),0,0)</f>
        <v>0</v>
      </c>
      <c r="T37" s="3">
        <f>IF(AND($D$13=7,$D$15=5),0,0)</f>
        <v>0</v>
      </c>
      <c r="U37" s="3">
        <f>IF(AND($D$13=8,$D$15=5),0,0)</f>
        <v>0</v>
      </c>
      <c r="V37" s="3">
        <f>IF(AND($D$13=9,$D$15=5),3604,0)</f>
        <v>0</v>
      </c>
      <c r="W37" s="3">
        <f>IF(AND($D$13=10,$D$15=5),0,0)</f>
        <v>0</v>
      </c>
      <c r="X37" s="3">
        <f>IF(AND($D$13=11,$D$15=5),4414,0)</f>
        <v>0</v>
      </c>
      <c r="Y37" s="3">
        <f>IF(AND($D$13=12,$D$15=5),0,0)</f>
        <v>0</v>
      </c>
      <c r="Z37" s="3">
        <f>IF(AND($D$13=13,$D$15=5),5041,0)</f>
        <v>0</v>
      </c>
    </row>
    <row r="38" spans="1:26" x14ac:dyDescent="0.25">
      <c r="A38" s="3">
        <v>23</v>
      </c>
      <c r="B38" s="3"/>
      <c r="C38" s="4" t="s">
        <v>9</v>
      </c>
      <c r="D38" s="3"/>
      <c r="E38" s="3"/>
      <c r="F38" s="3"/>
      <c r="G38" s="3"/>
      <c r="H38" s="3">
        <f>C17*2*50</f>
        <v>0</v>
      </c>
      <c r="I38" s="13">
        <f>IF(E17="igen",C25*10/60*3000,0)</f>
        <v>0</v>
      </c>
      <c r="J38" s="3"/>
      <c r="K38" s="3"/>
      <c r="L38" s="3"/>
      <c r="M38" s="3"/>
      <c r="N38" s="3">
        <f>IF(AND($D$13=1,$D$15=6),0,0)</f>
        <v>0</v>
      </c>
      <c r="O38" s="3">
        <f>IF(AND($D$13=2,$D$15=6),0,0)</f>
        <v>0</v>
      </c>
      <c r="P38" s="3">
        <f>IF(AND($D$13=3,$D$15=6),0,0)</f>
        <v>0</v>
      </c>
      <c r="Q38" s="3">
        <f>IF(AND($D$13=4,$D$15=6),0,0)</f>
        <v>0</v>
      </c>
      <c r="R38" s="3">
        <f>IF(AND($D$13=5,$D$15=6),0,0)</f>
        <v>0</v>
      </c>
      <c r="S38" s="3">
        <f>IF(AND($D$13=6,$D$15=6),3777,0)</f>
        <v>3777</v>
      </c>
      <c r="T38" s="3">
        <f>IF(AND($D$13=7,$D$15=6),0,0)</f>
        <v>0</v>
      </c>
      <c r="U38" s="3">
        <f>IF(AND($D$13=8,$D$15=6),4404,0)</f>
        <v>0</v>
      </c>
      <c r="V38" s="3">
        <f>IF(AND($D$13=9,$D$15=6),0,0)</f>
        <v>0</v>
      </c>
      <c r="W38" s="3">
        <f>IF(AND($D$13=10,$D$15=6),4668,0)</f>
        <v>0</v>
      </c>
      <c r="X38" s="3">
        <f>IF(AND($D$13=11,$D$15=6),0,0)</f>
        <v>0</v>
      </c>
      <c r="Y38" s="3">
        <f>IF(AND($D$13=12,$D$15=6),5278,0)</f>
        <v>0</v>
      </c>
      <c r="Z38" s="3">
        <f>IF(AND($D$13=13,$D$15=6),0,0)</f>
        <v>0</v>
      </c>
    </row>
    <row r="39" spans="1:26" x14ac:dyDescent="0.25">
      <c r="A39" s="3">
        <v>24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>
        <f>IF(AND($D$13=1,$D$15=7),0,0)</f>
        <v>0</v>
      </c>
      <c r="O39" s="3">
        <f>IF(AND($D$13=2,$D$15=7),0,0)</f>
        <v>0</v>
      </c>
      <c r="P39" s="3">
        <f>IF(AND($D$13=3,$D$15=7),0,0)</f>
        <v>0</v>
      </c>
      <c r="Q39" s="3">
        <f>IF(AND($D$13=4,$D$15=7),0,0)</f>
        <v>0</v>
      </c>
      <c r="R39" s="14">
        <f>IF(AND($D$13=5,$D$15=7),0,0)</f>
        <v>0</v>
      </c>
      <c r="S39" s="14">
        <f>IF(AND($D$13=6,$D$15=7),5633,0)</f>
        <v>0</v>
      </c>
      <c r="T39" s="14">
        <f>IF(AND($D$13=7,$D$15=7),0,0)</f>
        <v>0</v>
      </c>
      <c r="U39" s="14">
        <f>IF(AND($D$13=8,$D$15=7),5633,0)</f>
        <v>0</v>
      </c>
      <c r="V39" s="14">
        <f>IF(AND($D$13=9,$D$15=7),0,0)</f>
        <v>0</v>
      </c>
      <c r="W39" s="14">
        <f>IF(AND($D$13=10,$D$15=7),0,0)</f>
        <v>0</v>
      </c>
      <c r="X39" s="14">
        <f>IF(AND($D$13=11,$D$15=7),0,0)</f>
        <v>0</v>
      </c>
      <c r="Y39" s="14">
        <f>IF(AND($D$13=12,$D$15=7),0,0)</f>
        <v>0</v>
      </c>
      <c r="Z39" s="14">
        <f>IF(AND($D$13=13,$D$15=7),0,0)</f>
        <v>0</v>
      </c>
    </row>
    <row r="40" spans="1:26" x14ac:dyDescent="0.25">
      <c r="A40" s="3">
        <v>25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>
        <f>IF(AND($D$13=1,$D$15=8),0,0)</f>
        <v>0</v>
      </c>
      <c r="O40" s="3">
        <f>IF(AND($D$13=2,$D$15=8),0,0)</f>
        <v>0</v>
      </c>
      <c r="P40" s="3">
        <f>IF(AND($D$13=3,$D$15=8),0,0)</f>
        <v>0</v>
      </c>
      <c r="Q40" s="3">
        <f>IF(AND($D$13=4,$D$15=8),0,0)</f>
        <v>0</v>
      </c>
      <c r="R40" s="14">
        <f>IF(AND($D$13=5,$D$15=8),4623,0)</f>
        <v>0</v>
      </c>
      <c r="S40" s="14">
        <f>IF(AND($D$13=6,$D$15=8),0,0)</f>
        <v>0</v>
      </c>
      <c r="T40" s="14">
        <f>IF(AND($D$13=7,$D$15=8),0,0)</f>
        <v>0</v>
      </c>
      <c r="U40" s="14">
        <f>IF(AND($D$13=8,$D$15=8),0,0)</f>
        <v>0</v>
      </c>
      <c r="V40" s="14">
        <f>IF(AND($D$13=9,$D$15=8),5633,0)</f>
        <v>0</v>
      </c>
      <c r="W40" s="14">
        <f>IF(AND($D$13=10,$D$15=8),0,0)</f>
        <v>0</v>
      </c>
      <c r="X40" s="14">
        <f>IF(AND($D$13=11,$D$15=8),0,0)</f>
        <v>0</v>
      </c>
      <c r="Y40" s="14">
        <f>IF(AND($D$13=12,$D$15=8),0,0)</f>
        <v>0</v>
      </c>
      <c r="Z40" s="14">
        <f>IF(AND($D$13=13,$D$15=8),0,0)</f>
        <v>0</v>
      </c>
    </row>
    <row r="41" spans="1:26" x14ac:dyDescent="0.25">
      <c r="A41" s="3">
        <v>26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14"/>
      <c r="S41" s="14"/>
      <c r="T41" s="14"/>
      <c r="U41" s="14"/>
      <c r="V41" s="14"/>
      <c r="W41" s="14"/>
      <c r="X41" s="14"/>
      <c r="Y41" s="14"/>
      <c r="Z41" s="14"/>
    </row>
    <row r="42" spans="1:26" x14ac:dyDescent="0.25">
      <c r="A42" s="3">
        <v>27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>
        <f>IF(D5=1,1297,0)</f>
        <v>1297</v>
      </c>
      <c r="O42" s="3">
        <f>IF(D5=2,1574,0)</f>
        <v>0</v>
      </c>
      <c r="P42" s="3">
        <f>IF(D5=3,1970,0)</f>
        <v>0</v>
      </c>
      <c r="Q42" s="3">
        <f>IF(D5=4,0,0)</f>
        <v>0</v>
      </c>
      <c r="R42" s="14"/>
      <c r="S42" s="14"/>
      <c r="T42" s="14"/>
      <c r="U42" s="14"/>
      <c r="V42" s="14"/>
      <c r="W42" s="14"/>
      <c r="X42" s="14"/>
      <c r="Y42" s="14"/>
      <c r="Z42" s="14"/>
    </row>
    <row r="43" spans="1:26" s="3" customFormat="1" x14ac:dyDescent="0.25">
      <c r="A43" s="3">
        <v>28</v>
      </c>
      <c r="R43"/>
      <c r="S43"/>
      <c r="T43"/>
      <c r="U43"/>
      <c r="V43"/>
      <c r="W43"/>
      <c r="X43"/>
      <c r="Y43"/>
    </row>
    <row r="44" spans="1:26" s="3" customFormat="1" x14ac:dyDescent="0.25">
      <c r="A44" s="3">
        <v>29</v>
      </c>
      <c r="R44"/>
      <c r="S44"/>
    </row>
    <row r="45" spans="1:26" s="3" customFormat="1" ht="12.75" x14ac:dyDescent="0.25">
      <c r="A45" s="3">
        <v>30</v>
      </c>
    </row>
    <row r="46" spans="1:26" s="3" customFormat="1" ht="12.75" x14ac:dyDescent="0.25">
      <c r="A46" s="3">
        <v>300</v>
      </c>
    </row>
    <row r="47" spans="1:26" s="3" customFormat="1" ht="12.75" x14ac:dyDescent="0.25">
      <c r="A47" s="3">
        <v>305</v>
      </c>
    </row>
    <row r="48" spans="1:26" s="3" customFormat="1" ht="12.75" x14ac:dyDescent="0.25">
      <c r="A48" s="3">
        <v>381</v>
      </c>
    </row>
    <row r="49" spans="1:1" s="3" customFormat="1" ht="12.75" x14ac:dyDescent="0.25">
      <c r="A49" s="3">
        <v>400</v>
      </c>
    </row>
    <row r="50" spans="1:1" s="3" customFormat="1" ht="12.75" x14ac:dyDescent="0.25">
      <c r="A50" s="3">
        <v>457</v>
      </c>
    </row>
    <row r="51" spans="1:1" s="3" customFormat="1" ht="12.75" x14ac:dyDescent="0.25">
      <c r="A51" s="3">
        <v>500</v>
      </c>
    </row>
    <row r="52" spans="1:1" s="3" customFormat="1" ht="12.75" x14ac:dyDescent="0.25">
      <c r="A52" s="3">
        <v>535</v>
      </c>
    </row>
    <row r="53" spans="1:1" s="3" customFormat="1" ht="12.75" x14ac:dyDescent="0.25">
      <c r="A53" s="3">
        <v>600</v>
      </c>
    </row>
    <row r="54" spans="1:1" s="3" customFormat="1" ht="12.75" x14ac:dyDescent="0.25">
      <c r="A54" s="3">
        <v>610</v>
      </c>
    </row>
    <row r="55" spans="1:1" s="3" customFormat="1" ht="12.75" x14ac:dyDescent="0.25">
      <c r="A55" s="3">
        <v>700</v>
      </c>
    </row>
    <row r="56" spans="1:1" s="3" customFormat="1" ht="12.75" x14ac:dyDescent="0.25">
      <c r="A56" s="3">
        <v>762</v>
      </c>
    </row>
    <row r="57" spans="1:1" s="3" customFormat="1" ht="12.75" x14ac:dyDescent="0.25">
      <c r="A57" s="3">
        <v>800</v>
      </c>
    </row>
    <row r="58" spans="1:1" s="3" customFormat="1" ht="12.75" x14ac:dyDescent="0.25">
      <c r="A58" s="3">
        <v>914</v>
      </c>
    </row>
    <row r="59" spans="1:1" s="3" customFormat="1" ht="12.75" x14ac:dyDescent="0.25">
      <c r="A59" s="3">
        <v>610</v>
      </c>
    </row>
    <row r="60" spans="1:1" s="3" customFormat="1" ht="12.75" x14ac:dyDescent="0.25">
      <c r="A60" s="3">
        <v>762</v>
      </c>
    </row>
    <row r="61" spans="1:1" s="3" customFormat="1" ht="12.75" x14ac:dyDescent="0.25">
      <c r="A61" s="3">
        <v>800</v>
      </c>
    </row>
    <row r="62" spans="1:1" s="3" customFormat="1" ht="12.75" x14ac:dyDescent="0.25">
      <c r="A62" s="3">
        <v>915</v>
      </c>
    </row>
    <row r="63" spans="1:1" s="3" customFormat="1" ht="12.75" x14ac:dyDescent="0.25">
      <c r="A63" s="3">
        <v>991</v>
      </c>
    </row>
    <row r="64" spans="1:1" s="3" customFormat="1" ht="12.75" x14ac:dyDescent="0.25">
      <c r="A64" s="3">
        <v>1000</v>
      </c>
    </row>
    <row r="65" spans="1:1" s="3" customFormat="1" ht="12.75" x14ac:dyDescent="0.25">
      <c r="A65" s="3">
        <v>1200</v>
      </c>
    </row>
    <row r="66" spans="1:1" s="3" customFormat="1" ht="12.75" x14ac:dyDescent="0.25">
      <c r="A66" s="3">
        <v>1219</v>
      </c>
    </row>
    <row r="67" spans="1:1" s="3" customFormat="1" ht="12.75" x14ac:dyDescent="0.25">
      <c r="A67" s="3" t="s">
        <v>25</v>
      </c>
    </row>
    <row r="68" spans="1:1" s="3" customFormat="1" ht="12.75" x14ac:dyDescent="0.25">
      <c r="A68" s="3" t="s">
        <v>26</v>
      </c>
    </row>
    <row r="69" spans="1:1" s="3" customFormat="1" ht="12.75" x14ac:dyDescent="0.25">
      <c r="A69" s="3" t="s">
        <v>27</v>
      </c>
    </row>
    <row r="70" spans="1:1" s="3" customFormat="1" ht="12.75" x14ac:dyDescent="0.25">
      <c r="A70" s="3" t="s">
        <v>28</v>
      </c>
    </row>
    <row r="71" spans="1:1" s="3" customFormat="1" ht="12.75" x14ac:dyDescent="0.25"/>
    <row r="72" spans="1:1" s="3" customFormat="1" ht="12.75" x14ac:dyDescent="0.25"/>
    <row r="73" spans="1:1" s="3" customFormat="1" ht="12.75" x14ac:dyDescent="0.25"/>
    <row r="74" spans="1:1" s="3" customFormat="1" ht="12.75" x14ac:dyDescent="0.25"/>
    <row r="75" spans="1:1" s="3" customFormat="1" ht="12.75" x14ac:dyDescent="0.25"/>
    <row r="76" spans="1:1" s="3" customFormat="1" ht="12.75" x14ac:dyDescent="0.25"/>
    <row r="77" spans="1:1" s="3" customFormat="1" ht="12.75" x14ac:dyDescent="0.25"/>
    <row r="78" spans="1:1" s="3" customFormat="1" ht="12.75" x14ac:dyDescent="0.25"/>
    <row r="79" spans="1:1" s="3" customFormat="1" ht="12.75" x14ac:dyDescent="0.25"/>
    <row r="80" spans="1:1" s="3" customFormat="1" ht="12.75" x14ac:dyDescent="0.25"/>
    <row r="81" s="3" customFormat="1" ht="12.75" x14ac:dyDescent="0.25"/>
    <row r="82" s="3" customFormat="1" ht="12.75" x14ac:dyDescent="0.25"/>
    <row r="83" s="3" customFormat="1" ht="12.75" x14ac:dyDescent="0.25"/>
    <row r="84" s="3" customFormat="1" ht="12.75" x14ac:dyDescent="0.25"/>
    <row r="85" s="3" customFormat="1" ht="12.75" x14ac:dyDescent="0.25"/>
    <row r="86" s="3" customFormat="1" ht="12.75" x14ac:dyDescent="0.25"/>
    <row r="87" s="3" customFormat="1" ht="12.75" x14ac:dyDescent="0.25"/>
    <row r="88" s="3" customFormat="1" ht="12.75" x14ac:dyDescent="0.25"/>
    <row r="89" s="3" customFormat="1" ht="12.75" x14ac:dyDescent="0.25"/>
    <row r="90" s="3" customFormat="1" ht="12.75" x14ac:dyDescent="0.25"/>
    <row r="91" s="3" customFormat="1" ht="12.75" x14ac:dyDescent="0.25"/>
    <row r="92" s="3" customFormat="1" ht="12.75" x14ac:dyDescent="0.25"/>
    <row r="93" s="3" customFormat="1" ht="12.75" x14ac:dyDescent="0.25"/>
    <row r="94" s="3" customFormat="1" ht="12.75" x14ac:dyDescent="0.25"/>
    <row r="95" s="3" customFormat="1" ht="12.75" x14ac:dyDescent="0.25"/>
    <row r="96" s="3" customFormat="1" ht="12.75" x14ac:dyDescent="0.25"/>
    <row r="97" s="3" customFormat="1" ht="12.75" x14ac:dyDescent="0.25"/>
    <row r="98" s="3" customFormat="1" ht="12.75" x14ac:dyDescent="0.25"/>
    <row r="99" s="3" customFormat="1" ht="12.75" x14ac:dyDescent="0.25"/>
    <row r="100" s="3" customFormat="1" ht="12.75" x14ac:dyDescent="0.25"/>
    <row r="101" s="3" customFormat="1" ht="12.75" x14ac:dyDescent="0.25"/>
    <row r="102" s="3" customFormat="1" ht="12.75" x14ac:dyDescent="0.25"/>
    <row r="103" s="3" customFormat="1" ht="12.75" x14ac:dyDescent="0.25"/>
    <row r="104" s="3" customFormat="1" ht="12.75" x14ac:dyDescent="0.25"/>
    <row r="105" s="3" customFormat="1" ht="12.75" x14ac:dyDescent="0.25"/>
    <row r="106" s="3" customFormat="1" ht="12.75" x14ac:dyDescent="0.25"/>
    <row r="107" s="3" customFormat="1" ht="12.75" x14ac:dyDescent="0.25"/>
    <row r="108" s="3" customFormat="1" ht="12.75" x14ac:dyDescent="0.25"/>
    <row r="109" s="3" customFormat="1" ht="12.75" x14ac:dyDescent="0.25"/>
    <row r="110" s="3" customFormat="1" ht="12.75" x14ac:dyDescent="0.25"/>
    <row r="111" s="3" customFormat="1" ht="12.75" x14ac:dyDescent="0.25"/>
    <row r="112" s="3" customFormat="1" ht="12.75" x14ac:dyDescent="0.25"/>
    <row r="113" s="3" customFormat="1" ht="12.75" x14ac:dyDescent="0.25"/>
    <row r="114" s="3" customFormat="1" ht="12.75" x14ac:dyDescent="0.25"/>
    <row r="115" s="3" customFormat="1" ht="12.75" x14ac:dyDescent="0.25"/>
    <row r="116" s="3" customFormat="1" ht="12.75" x14ac:dyDescent="0.25"/>
    <row r="117" s="3" customFormat="1" ht="12.75" x14ac:dyDescent="0.25"/>
    <row r="118" s="3" customFormat="1" ht="12.75" x14ac:dyDescent="0.25"/>
    <row r="119" s="3" customFormat="1" ht="12.75" x14ac:dyDescent="0.25"/>
    <row r="120" s="3" customFormat="1" ht="12.75" x14ac:dyDescent="0.25"/>
    <row r="121" s="3" customFormat="1" ht="12.75" x14ac:dyDescent="0.25"/>
    <row r="122" s="3" customFormat="1" ht="12.75" x14ac:dyDescent="0.25"/>
    <row r="123" s="3" customFormat="1" ht="12.75" x14ac:dyDescent="0.25"/>
    <row r="124" s="3" customFormat="1" ht="12.75" x14ac:dyDescent="0.25"/>
    <row r="125" s="3" customFormat="1" ht="12.75" x14ac:dyDescent="0.25"/>
    <row r="126" s="3" customFormat="1" ht="12.75" x14ac:dyDescent="0.25"/>
    <row r="127" s="3" customFormat="1" ht="12.75" x14ac:dyDescent="0.25"/>
    <row r="128" s="3" customFormat="1" ht="12.75" x14ac:dyDescent="0.25"/>
    <row r="129" s="3" customFormat="1" ht="12.75" x14ac:dyDescent="0.25"/>
    <row r="130" s="3" customFormat="1" ht="12.75" x14ac:dyDescent="0.25"/>
    <row r="131" s="3" customFormat="1" ht="12.75" x14ac:dyDescent="0.25"/>
    <row r="132" s="3" customFormat="1" ht="12.75" x14ac:dyDescent="0.25"/>
    <row r="133" s="3" customFormat="1" ht="12.75" x14ac:dyDescent="0.25"/>
    <row r="134" s="3" customFormat="1" ht="12.75" x14ac:dyDescent="0.25"/>
    <row r="135" s="3" customFormat="1" ht="12.75" x14ac:dyDescent="0.25"/>
    <row r="136" s="3" customFormat="1" ht="12.75" x14ac:dyDescent="0.25"/>
    <row r="137" s="3" customFormat="1" ht="12.75" x14ac:dyDescent="0.25"/>
    <row r="138" s="3" customFormat="1" ht="12.75" x14ac:dyDescent="0.25"/>
    <row r="139" s="3" customFormat="1" ht="12.75" x14ac:dyDescent="0.25"/>
    <row r="140" s="3" customFormat="1" ht="12.75" x14ac:dyDescent="0.25"/>
    <row r="141" s="3" customFormat="1" ht="12.75" x14ac:dyDescent="0.25"/>
    <row r="142" s="3" customFormat="1" ht="12.75" x14ac:dyDescent="0.25"/>
    <row r="143" s="3" customFormat="1" ht="12.75" x14ac:dyDescent="0.25"/>
    <row r="144" s="3" customFormat="1" ht="12.75" x14ac:dyDescent="0.25"/>
    <row r="145" s="3" customFormat="1" ht="12.75" x14ac:dyDescent="0.25"/>
    <row r="146" s="3" customFormat="1" ht="12.75" x14ac:dyDescent="0.25"/>
    <row r="147" s="3" customFormat="1" ht="12.75" x14ac:dyDescent="0.25"/>
    <row r="148" s="3" customFormat="1" ht="12.75" x14ac:dyDescent="0.25"/>
    <row r="149" s="3" customFormat="1" ht="12.75" x14ac:dyDescent="0.25"/>
    <row r="150" s="3" customFormat="1" ht="12.75" x14ac:dyDescent="0.25"/>
    <row r="151" s="3" customFormat="1" ht="12.75" x14ac:dyDescent="0.25"/>
    <row r="152" s="3" customFormat="1" ht="12.75" x14ac:dyDescent="0.25"/>
    <row r="153" s="3" customFormat="1" ht="12.75" x14ac:dyDescent="0.25"/>
    <row r="154" s="3" customFormat="1" ht="12.75" x14ac:dyDescent="0.25"/>
    <row r="155" s="3" customFormat="1" ht="12.75" x14ac:dyDescent="0.25"/>
    <row r="156" s="3" customFormat="1" ht="12.75" x14ac:dyDescent="0.25"/>
    <row r="157" s="3" customFormat="1" ht="12.75" x14ac:dyDescent="0.25"/>
    <row r="158" s="3" customFormat="1" ht="12.75" x14ac:dyDescent="0.25"/>
    <row r="159" s="3" customFormat="1" ht="12.75" x14ac:dyDescent="0.25"/>
    <row r="160" s="3" customFormat="1" ht="12.75" x14ac:dyDescent="0.25"/>
    <row r="161" s="3" customFormat="1" ht="12.75" x14ac:dyDescent="0.25"/>
    <row r="162" s="3" customFormat="1" ht="12.75" x14ac:dyDescent="0.25"/>
    <row r="163" s="3" customFormat="1" ht="12.75" x14ac:dyDescent="0.25"/>
    <row r="164" s="3" customFormat="1" ht="12.75" x14ac:dyDescent="0.25"/>
    <row r="165" s="3" customFormat="1" ht="12.75" x14ac:dyDescent="0.25"/>
    <row r="166" s="3" customFormat="1" ht="12.75" x14ac:dyDescent="0.25"/>
    <row r="167" s="3" customFormat="1" ht="12.75" x14ac:dyDescent="0.25"/>
    <row r="168" s="3" customFormat="1" ht="12.75" x14ac:dyDescent="0.25"/>
    <row r="169" s="3" customFormat="1" ht="12.75" x14ac:dyDescent="0.25"/>
    <row r="170" s="3" customFormat="1" ht="12.75" x14ac:dyDescent="0.25"/>
    <row r="171" s="3" customFormat="1" ht="12.75" x14ac:dyDescent="0.25"/>
    <row r="172" s="3" customFormat="1" ht="12.75" x14ac:dyDescent="0.25"/>
    <row r="173" s="3" customFormat="1" ht="12.75" x14ac:dyDescent="0.25"/>
    <row r="174" s="3" customFormat="1" ht="12.75" x14ac:dyDescent="0.25"/>
    <row r="175" s="3" customFormat="1" ht="12.75" x14ac:dyDescent="0.25"/>
    <row r="176" s="3" customFormat="1" ht="12.75" x14ac:dyDescent="0.25"/>
    <row r="177" s="3" customFormat="1" ht="12.75" x14ac:dyDescent="0.25"/>
    <row r="178" s="3" customFormat="1" ht="12.75" x14ac:dyDescent="0.25"/>
    <row r="179" s="3" customFormat="1" ht="12.75" x14ac:dyDescent="0.25"/>
    <row r="180" s="3" customFormat="1" ht="12.75" x14ac:dyDescent="0.25"/>
    <row r="181" s="3" customFormat="1" ht="12.75" x14ac:dyDescent="0.25"/>
    <row r="182" s="3" customFormat="1" ht="12.75" x14ac:dyDescent="0.25"/>
    <row r="183" s="3" customFormat="1" ht="12.75" x14ac:dyDescent="0.25"/>
    <row r="184" s="3" customFormat="1" ht="12.75" x14ac:dyDescent="0.25"/>
    <row r="185" s="3" customFormat="1" ht="12.75" x14ac:dyDescent="0.25"/>
    <row r="186" s="3" customFormat="1" ht="12.75" x14ac:dyDescent="0.25"/>
    <row r="187" s="3" customFormat="1" ht="12.75" x14ac:dyDescent="0.25"/>
    <row r="188" s="3" customFormat="1" ht="12.75" x14ac:dyDescent="0.25"/>
    <row r="189" s="3" customFormat="1" ht="12.75" x14ac:dyDescent="0.25"/>
    <row r="190" s="3" customFormat="1" ht="12.75" x14ac:dyDescent="0.25"/>
    <row r="191" s="3" customFormat="1" ht="12.75" x14ac:dyDescent="0.25"/>
    <row r="192" s="3" customFormat="1" ht="12.75" x14ac:dyDescent="0.25"/>
    <row r="193" s="3" customFormat="1" ht="12.75" x14ac:dyDescent="0.25"/>
    <row r="194" s="3" customFormat="1" ht="12.75" x14ac:dyDescent="0.25"/>
    <row r="195" s="3" customFormat="1" ht="12.75" x14ac:dyDescent="0.25"/>
    <row r="196" s="3" customFormat="1" ht="12.75" x14ac:dyDescent="0.25"/>
    <row r="197" s="3" customFormat="1" ht="12.75" x14ac:dyDescent="0.25"/>
    <row r="198" s="3" customFormat="1" ht="12.75" x14ac:dyDescent="0.25"/>
    <row r="199" s="3" customFormat="1" ht="12.75" x14ac:dyDescent="0.25"/>
    <row r="200" s="3" customFormat="1" ht="12.75" x14ac:dyDescent="0.25"/>
    <row r="201" s="3" customFormat="1" ht="12.75" x14ac:dyDescent="0.25"/>
    <row r="202" s="3" customFormat="1" ht="12.75" x14ac:dyDescent="0.25"/>
    <row r="203" s="3" customFormat="1" ht="12.75" x14ac:dyDescent="0.25"/>
    <row r="204" s="3" customFormat="1" ht="12.75" x14ac:dyDescent="0.25"/>
    <row r="205" s="3" customFormat="1" ht="12.75" x14ac:dyDescent="0.25"/>
    <row r="206" s="3" customFormat="1" ht="12.75" x14ac:dyDescent="0.25"/>
    <row r="207" s="3" customFormat="1" ht="12.75" x14ac:dyDescent="0.25"/>
    <row r="208" s="3" customFormat="1" ht="12.75" x14ac:dyDescent="0.25"/>
    <row r="209" s="3" customFormat="1" ht="12.75" x14ac:dyDescent="0.25"/>
    <row r="210" s="3" customFormat="1" ht="12.75" x14ac:dyDescent="0.25"/>
    <row r="211" s="3" customFormat="1" ht="12.75" x14ac:dyDescent="0.25"/>
    <row r="212" s="3" customFormat="1" ht="12.75" x14ac:dyDescent="0.25"/>
    <row r="213" s="3" customFormat="1" ht="12.75" x14ac:dyDescent="0.25"/>
    <row r="214" s="3" customFormat="1" ht="12.75" x14ac:dyDescent="0.25"/>
    <row r="215" s="3" customFormat="1" ht="12.75" x14ac:dyDescent="0.25"/>
    <row r="216" s="3" customFormat="1" ht="12.75" x14ac:dyDescent="0.25"/>
    <row r="217" s="3" customFormat="1" ht="12.75" x14ac:dyDescent="0.25"/>
    <row r="218" s="3" customFormat="1" ht="12.75" x14ac:dyDescent="0.25"/>
    <row r="219" s="3" customFormat="1" ht="12.75" x14ac:dyDescent="0.25"/>
    <row r="220" s="3" customFormat="1" ht="12.75" x14ac:dyDescent="0.25"/>
    <row r="221" s="3" customFormat="1" ht="12.75" x14ac:dyDescent="0.25"/>
    <row r="222" s="3" customFormat="1" ht="12.75" x14ac:dyDescent="0.25"/>
    <row r="223" s="3" customFormat="1" ht="12.75" x14ac:dyDescent="0.25"/>
    <row r="224" s="3" customFormat="1" ht="12.75" x14ac:dyDescent="0.25"/>
    <row r="225" s="3" customFormat="1" ht="12.75" x14ac:dyDescent="0.25"/>
    <row r="226" s="3" customFormat="1" ht="12.75" x14ac:dyDescent="0.25"/>
    <row r="227" s="3" customFormat="1" ht="12.75" x14ac:dyDescent="0.25"/>
    <row r="228" s="3" customFormat="1" ht="12.75" x14ac:dyDescent="0.25"/>
    <row r="229" s="3" customFormat="1" ht="12.75" x14ac:dyDescent="0.25"/>
    <row r="230" s="3" customFormat="1" ht="12.75" x14ac:dyDescent="0.25"/>
    <row r="231" s="3" customFormat="1" ht="12.75" x14ac:dyDescent="0.25"/>
    <row r="232" s="3" customFormat="1" ht="12.75" x14ac:dyDescent="0.25"/>
    <row r="233" s="3" customFormat="1" ht="12.75" x14ac:dyDescent="0.25"/>
    <row r="234" s="3" customFormat="1" ht="12.75" x14ac:dyDescent="0.25"/>
    <row r="235" s="3" customFormat="1" ht="12.75" x14ac:dyDescent="0.25"/>
    <row r="236" s="3" customFormat="1" ht="12.75" x14ac:dyDescent="0.25"/>
    <row r="237" s="3" customFormat="1" ht="12.75" x14ac:dyDescent="0.25"/>
    <row r="238" s="3" customFormat="1" ht="12.75" x14ac:dyDescent="0.25"/>
    <row r="239" s="3" customFormat="1" ht="12.75" x14ac:dyDescent="0.25"/>
    <row r="240" s="3" customFormat="1" ht="12.75" x14ac:dyDescent="0.25"/>
    <row r="241" s="3" customFormat="1" ht="12.75" x14ac:dyDescent="0.25"/>
    <row r="242" s="3" customFormat="1" ht="12.75" x14ac:dyDescent="0.25"/>
    <row r="243" s="3" customFormat="1" ht="12.75" x14ac:dyDescent="0.25"/>
    <row r="244" s="3" customFormat="1" ht="12.75" x14ac:dyDescent="0.25"/>
    <row r="245" s="3" customFormat="1" ht="12.75" x14ac:dyDescent="0.25"/>
    <row r="246" s="3" customFormat="1" ht="12.75" x14ac:dyDescent="0.25"/>
    <row r="247" s="3" customFormat="1" ht="12.75" x14ac:dyDescent="0.25"/>
    <row r="248" s="3" customFormat="1" ht="12.75" x14ac:dyDescent="0.25"/>
    <row r="249" s="3" customFormat="1" ht="12.75" x14ac:dyDescent="0.25"/>
    <row r="250" s="3" customFormat="1" ht="12.75" x14ac:dyDescent="0.25"/>
    <row r="251" s="3" customFormat="1" ht="12.75" x14ac:dyDescent="0.25"/>
    <row r="252" s="3" customFormat="1" ht="12.75" x14ac:dyDescent="0.25"/>
    <row r="253" s="3" customFormat="1" ht="12.75" x14ac:dyDescent="0.25"/>
    <row r="254" s="3" customFormat="1" ht="12.75" x14ac:dyDescent="0.25"/>
    <row r="255" s="3" customFormat="1" ht="12.75" x14ac:dyDescent="0.25"/>
    <row r="256" s="3" customFormat="1" ht="12.75" x14ac:dyDescent="0.25"/>
    <row r="257" s="3" customFormat="1" ht="12.75" x14ac:dyDescent="0.25"/>
    <row r="258" s="3" customFormat="1" ht="12.75" x14ac:dyDescent="0.25"/>
    <row r="259" s="3" customFormat="1" ht="12.75" x14ac:dyDescent="0.25"/>
    <row r="260" s="3" customFormat="1" ht="12.75" x14ac:dyDescent="0.25"/>
    <row r="261" s="3" customFormat="1" ht="12.75" x14ac:dyDescent="0.25"/>
    <row r="262" s="3" customFormat="1" ht="12.75" x14ac:dyDescent="0.25"/>
    <row r="263" s="3" customFormat="1" ht="12.75" x14ac:dyDescent="0.25"/>
    <row r="264" s="3" customFormat="1" ht="12.75" x14ac:dyDescent="0.25"/>
    <row r="265" s="3" customFormat="1" ht="12.75" x14ac:dyDescent="0.25"/>
    <row r="266" s="3" customFormat="1" ht="12.75" x14ac:dyDescent="0.25"/>
    <row r="267" s="3" customFormat="1" ht="12.75" x14ac:dyDescent="0.25"/>
    <row r="268" s="3" customFormat="1" ht="12.75" x14ac:dyDescent="0.25"/>
    <row r="269" s="3" customFormat="1" ht="12.75" x14ac:dyDescent="0.25"/>
    <row r="270" s="3" customFormat="1" ht="12.75" x14ac:dyDescent="0.25"/>
    <row r="271" s="3" customFormat="1" ht="12.75" x14ac:dyDescent="0.25"/>
    <row r="272" s="3" customFormat="1" ht="12.75" x14ac:dyDescent="0.25"/>
    <row r="273" s="3" customFormat="1" ht="12.75" x14ac:dyDescent="0.25"/>
    <row r="274" s="3" customFormat="1" ht="12.75" x14ac:dyDescent="0.25"/>
    <row r="275" s="3" customFormat="1" ht="12.75" x14ac:dyDescent="0.25"/>
    <row r="276" s="3" customFormat="1" ht="12.75" x14ac:dyDescent="0.25"/>
    <row r="277" s="3" customFormat="1" ht="12.75" x14ac:dyDescent="0.25"/>
    <row r="278" s="3" customFormat="1" ht="12.75" x14ac:dyDescent="0.25"/>
    <row r="279" s="3" customFormat="1" ht="12.75" x14ac:dyDescent="0.25"/>
    <row r="280" s="3" customFormat="1" ht="12.75" x14ac:dyDescent="0.25"/>
    <row r="281" s="3" customFormat="1" ht="12.75" x14ac:dyDescent="0.25"/>
    <row r="282" s="3" customFormat="1" ht="12.75" x14ac:dyDescent="0.25"/>
    <row r="283" s="3" customFormat="1" ht="12.75" x14ac:dyDescent="0.25"/>
    <row r="284" s="3" customFormat="1" ht="12.75" x14ac:dyDescent="0.25"/>
    <row r="285" s="3" customFormat="1" ht="12.75" x14ac:dyDescent="0.25"/>
    <row r="286" s="3" customFormat="1" ht="12.75" x14ac:dyDescent="0.25"/>
    <row r="287" s="3" customFormat="1" ht="12.75" x14ac:dyDescent="0.25"/>
    <row r="288" s="3" customFormat="1" ht="12.75" x14ac:dyDescent="0.25"/>
    <row r="289" s="3" customFormat="1" ht="12.75" x14ac:dyDescent="0.25"/>
    <row r="290" s="3" customFormat="1" ht="12.75" x14ac:dyDescent="0.25"/>
    <row r="291" s="3" customFormat="1" ht="12.75" x14ac:dyDescent="0.25"/>
    <row r="292" s="3" customFormat="1" ht="12.75" x14ac:dyDescent="0.25"/>
    <row r="293" s="3" customFormat="1" ht="12.75" x14ac:dyDescent="0.25"/>
    <row r="294" s="3" customFormat="1" ht="12.75" x14ac:dyDescent="0.25"/>
    <row r="295" s="3" customFormat="1" ht="12.75" x14ac:dyDescent="0.25"/>
    <row r="296" s="3" customFormat="1" ht="12.75" x14ac:dyDescent="0.25"/>
    <row r="297" s="3" customFormat="1" ht="12.75" x14ac:dyDescent="0.25"/>
    <row r="298" s="3" customFormat="1" ht="12.75" x14ac:dyDescent="0.25"/>
    <row r="299" s="3" customFormat="1" ht="12.75" x14ac:dyDescent="0.25"/>
    <row r="300" s="3" customFormat="1" ht="12.75" x14ac:dyDescent="0.25"/>
    <row r="301" s="3" customFormat="1" ht="12.75" x14ac:dyDescent="0.25"/>
    <row r="302" s="3" customFormat="1" ht="12.75" x14ac:dyDescent="0.25"/>
    <row r="303" s="3" customFormat="1" ht="12.75" x14ac:dyDescent="0.25"/>
    <row r="304" s="3" customFormat="1" ht="12.75" x14ac:dyDescent="0.25"/>
    <row r="305" s="3" customFormat="1" ht="12.75" x14ac:dyDescent="0.25"/>
    <row r="306" s="3" customFormat="1" ht="12.75" x14ac:dyDescent="0.25"/>
    <row r="307" s="3" customFormat="1" ht="12.75" x14ac:dyDescent="0.25"/>
    <row r="308" s="3" customFormat="1" ht="12.75" x14ac:dyDescent="0.25"/>
    <row r="309" s="3" customFormat="1" ht="12.75" x14ac:dyDescent="0.25"/>
    <row r="310" s="3" customFormat="1" ht="12.75" x14ac:dyDescent="0.25"/>
    <row r="311" s="3" customFormat="1" ht="12.75" x14ac:dyDescent="0.25"/>
    <row r="312" s="3" customFormat="1" ht="12.75" x14ac:dyDescent="0.25"/>
    <row r="313" s="3" customFormat="1" ht="12.75" x14ac:dyDescent="0.25"/>
    <row r="314" s="3" customFormat="1" ht="12.75" x14ac:dyDescent="0.25"/>
    <row r="315" s="3" customFormat="1" ht="12.75" x14ac:dyDescent="0.25"/>
    <row r="316" s="3" customFormat="1" ht="12.75" x14ac:dyDescent="0.25"/>
    <row r="317" s="3" customFormat="1" ht="12.75" x14ac:dyDescent="0.25"/>
    <row r="318" s="3" customFormat="1" ht="12.75" x14ac:dyDescent="0.25"/>
    <row r="319" s="3" customFormat="1" ht="12.75" x14ac:dyDescent="0.25"/>
    <row r="320" s="3" customFormat="1" ht="12.75" x14ac:dyDescent="0.25"/>
    <row r="321" s="3" customFormat="1" ht="12.75" x14ac:dyDescent="0.25"/>
    <row r="322" s="3" customFormat="1" ht="12.75" x14ac:dyDescent="0.25"/>
    <row r="323" s="3" customFormat="1" ht="12.75" x14ac:dyDescent="0.25"/>
    <row r="324" s="3" customFormat="1" ht="12.75" x14ac:dyDescent="0.25"/>
    <row r="325" s="3" customFormat="1" ht="12.75" x14ac:dyDescent="0.25"/>
    <row r="326" s="3" customFormat="1" ht="12.75" x14ac:dyDescent="0.25"/>
    <row r="327" s="3" customFormat="1" ht="12.75" x14ac:dyDescent="0.25"/>
    <row r="328" s="3" customFormat="1" ht="12.75" x14ac:dyDescent="0.25"/>
    <row r="329" s="3" customFormat="1" ht="12.75" x14ac:dyDescent="0.25"/>
    <row r="330" s="3" customFormat="1" ht="12.75" x14ac:dyDescent="0.25"/>
    <row r="331" s="3" customFormat="1" ht="12.75" x14ac:dyDescent="0.25"/>
    <row r="332" s="3" customFormat="1" ht="12.75" x14ac:dyDescent="0.25"/>
    <row r="333" s="3" customFormat="1" ht="12.75" x14ac:dyDescent="0.25"/>
    <row r="334" s="3" customFormat="1" ht="12.75" x14ac:dyDescent="0.25"/>
    <row r="335" s="3" customFormat="1" ht="12.75" x14ac:dyDescent="0.25"/>
    <row r="336" s="3" customFormat="1" ht="12.75" x14ac:dyDescent="0.25"/>
    <row r="337" s="3" customFormat="1" ht="12.75" x14ac:dyDescent="0.25"/>
    <row r="338" s="3" customFormat="1" ht="12.75" x14ac:dyDescent="0.25"/>
    <row r="339" s="3" customFormat="1" ht="12.75" x14ac:dyDescent="0.25"/>
    <row r="340" s="3" customFormat="1" ht="12.75" x14ac:dyDescent="0.25"/>
    <row r="341" s="3" customFormat="1" ht="12.75" x14ac:dyDescent="0.25"/>
    <row r="342" s="3" customFormat="1" ht="12.75" x14ac:dyDescent="0.25"/>
    <row r="343" s="3" customFormat="1" ht="12.75" x14ac:dyDescent="0.25"/>
    <row r="344" s="3" customFormat="1" ht="12.75" x14ac:dyDescent="0.25"/>
    <row r="345" s="3" customFormat="1" ht="12.75" x14ac:dyDescent="0.25"/>
    <row r="346" s="3" customFormat="1" ht="12.75" x14ac:dyDescent="0.25"/>
    <row r="347" s="3" customFormat="1" ht="12.75" x14ac:dyDescent="0.25"/>
    <row r="348" s="3" customFormat="1" ht="12.75" x14ac:dyDescent="0.25"/>
    <row r="349" s="3" customFormat="1" ht="12.75" x14ac:dyDescent="0.25"/>
    <row r="350" s="3" customFormat="1" ht="12.75" x14ac:dyDescent="0.25"/>
    <row r="351" s="3" customFormat="1" ht="12.75" x14ac:dyDescent="0.25"/>
    <row r="352" s="3" customFormat="1" ht="12.75" x14ac:dyDescent="0.25"/>
    <row r="353" s="3" customFormat="1" ht="12.75" x14ac:dyDescent="0.25"/>
    <row r="354" s="3" customFormat="1" ht="12.75" x14ac:dyDescent="0.25"/>
    <row r="355" s="3" customFormat="1" ht="12.75" x14ac:dyDescent="0.25"/>
    <row r="356" s="3" customFormat="1" ht="12.75" x14ac:dyDescent="0.25"/>
    <row r="357" s="3" customFormat="1" ht="12.75" x14ac:dyDescent="0.25"/>
    <row r="358" s="3" customFormat="1" ht="12.75" x14ac:dyDescent="0.25"/>
    <row r="359" s="3" customFormat="1" ht="12.75" x14ac:dyDescent="0.25"/>
    <row r="360" s="3" customFormat="1" ht="12.75" x14ac:dyDescent="0.25"/>
    <row r="361" s="3" customFormat="1" ht="12.75" x14ac:dyDescent="0.25"/>
    <row r="362" s="3" customFormat="1" ht="12.75" x14ac:dyDescent="0.25"/>
    <row r="363" s="3" customFormat="1" ht="12.75" x14ac:dyDescent="0.25"/>
    <row r="364" s="3" customFormat="1" ht="12.75" x14ac:dyDescent="0.25"/>
    <row r="365" s="3" customFormat="1" ht="12.75" x14ac:dyDescent="0.25"/>
    <row r="366" s="3" customFormat="1" ht="12.75" x14ac:dyDescent="0.25"/>
    <row r="367" s="3" customFormat="1" ht="12.75" x14ac:dyDescent="0.25"/>
    <row r="368" s="3" customFormat="1" ht="12.75" x14ac:dyDescent="0.25"/>
    <row r="369" s="3" customFormat="1" ht="12.75" x14ac:dyDescent="0.25"/>
    <row r="370" s="3" customFormat="1" ht="12.75" x14ac:dyDescent="0.25"/>
    <row r="371" s="3" customFormat="1" ht="12.75" x14ac:dyDescent="0.25"/>
    <row r="372" s="3" customFormat="1" ht="12.75" x14ac:dyDescent="0.25"/>
    <row r="373" s="3" customFormat="1" ht="12.75" x14ac:dyDescent="0.25"/>
    <row r="374" s="3" customFormat="1" ht="12.75" x14ac:dyDescent="0.25"/>
    <row r="375" s="3" customFormat="1" ht="12.75" x14ac:dyDescent="0.25"/>
    <row r="376" s="3" customFormat="1" ht="12.75" x14ac:dyDescent="0.25"/>
    <row r="377" s="3" customFormat="1" ht="12.75" x14ac:dyDescent="0.25"/>
    <row r="378" s="3" customFormat="1" ht="12.75" x14ac:dyDescent="0.25"/>
    <row r="379" s="3" customFormat="1" ht="12.75" x14ac:dyDescent="0.25"/>
    <row r="380" s="3" customFormat="1" ht="12.75" x14ac:dyDescent="0.25"/>
    <row r="381" s="3" customFormat="1" ht="12.75" x14ac:dyDescent="0.25"/>
    <row r="382" s="3" customFormat="1" ht="12.75" x14ac:dyDescent="0.25"/>
    <row r="383" s="3" customFormat="1" ht="12.75" x14ac:dyDescent="0.25"/>
    <row r="384" s="3" customFormat="1" ht="12.75" x14ac:dyDescent="0.25"/>
    <row r="385" s="3" customFormat="1" ht="12.75" x14ac:dyDescent="0.25"/>
    <row r="386" s="3" customFormat="1" ht="12.75" x14ac:dyDescent="0.25"/>
    <row r="387" s="3" customFormat="1" ht="12.75" x14ac:dyDescent="0.25"/>
    <row r="388" s="3" customFormat="1" ht="12.75" x14ac:dyDescent="0.25"/>
    <row r="389" s="3" customFormat="1" ht="12.75" x14ac:dyDescent="0.25"/>
    <row r="390" s="3" customFormat="1" ht="12.75" x14ac:dyDescent="0.25"/>
    <row r="391" s="3" customFormat="1" ht="12.75" x14ac:dyDescent="0.25"/>
    <row r="392" s="3" customFormat="1" ht="12.75" x14ac:dyDescent="0.25"/>
    <row r="393" s="3" customFormat="1" ht="12.75" x14ac:dyDescent="0.25"/>
    <row r="394" s="3" customFormat="1" ht="12.75" x14ac:dyDescent="0.25"/>
    <row r="395" s="3" customFormat="1" ht="12.75" x14ac:dyDescent="0.25"/>
    <row r="396" s="3" customFormat="1" ht="12.75" x14ac:dyDescent="0.25"/>
    <row r="397" s="3" customFormat="1" ht="12.75" x14ac:dyDescent="0.25"/>
    <row r="398" s="3" customFormat="1" ht="12.75" x14ac:dyDescent="0.25"/>
    <row r="399" s="3" customFormat="1" ht="12.75" x14ac:dyDescent="0.25"/>
    <row r="400" s="3" customFormat="1" ht="12.75" x14ac:dyDescent="0.25"/>
    <row r="401" s="3" customFormat="1" ht="12.75" x14ac:dyDescent="0.25"/>
    <row r="402" s="3" customFormat="1" ht="12.75" x14ac:dyDescent="0.25"/>
    <row r="403" s="3" customFormat="1" ht="12.75" x14ac:dyDescent="0.25"/>
    <row r="404" s="3" customFormat="1" ht="12.75" x14ac:dyDescent="0.25"/>
    <row r="405" s="3" customFormat="1" ht="12.75" x14ac:dyDescent="0.25"/>
    <row r="406" s="3" customFormat="1" ht="12.75" x14ac:dyDescent="0.25"/>
    <row r="407" s="3" customFormat="1" ht="12.75" x14ac:dyDescent="0.25"/>
    <row r="408" s="3" customFormat="1" ht="12.75" x14ac:dyDescent="0.25"/>
    <row r="409" s="3" customFormat="1" ht="12.75" x14ac:dyDescent="0.25"/>
    <row r="410" s="3" customFormat="1" ht="12.75" x14ac:dyDescent="0.25"/>
    <row r="411" s="3" customFormat="1" ht="12.75" x14ac:dyDescent="0.25"/>
    <row r="412" s="3" customFormat="1" ht="12.75" x14ac:dyDescent="0.25"/>
    <row r="413" s="3" customFormat="1" ht="12.75" x14ac:dyDescent="0.25"/>
    <row r="414" s="3" customFormat="1" ht="12.75" x14ac:dyDescent="0.25"/>
    <row r="415" s="3" customFormat="1" ht="12.75" x14ac:dyDescent="0.25"/>
    <row r="416" s="3" customFormat="1" ht="12.75" x14ac:dyDescent="0.25"/>
    <row r="417" s="3" customFormat="1" ht="12.75" x14ac:dyDescent="0.25"/>
    <row r="418" s="3" customFormat="1" ht="12.75" x14ac:dyDescent="0.25"/>
    <row r="419" s="3" customFormat="1" ht="12.75" x14ac:dyDescent="0.25"/>
    <row r="420" s="3" customFormat="1" ht="12.75" x14ac:dyDescent="0.25"/>
    <row r="421" s="3" customFormat="1" ht="12.75" x14ac:dyDescent="0.25"/>
    <row r="422" s="3" customFormat="1" ht="12.75" x14ac:dyDescent="0.25"/>
    <row r="423" s="3" customFormat="1" ht="12.75" x14ac:dyDescent="0.25"/>
    <row r="424" s="3" customFormat="1" ht="12.75" x14ac:dyDescent="0.25"/>
    <row r="425" s="3" customFormat="1" ht="12.75" x14ac:dyDescent="0.25"/>
    <row r="426" s="3" customFormat="1" ht="12.75" x14ac:dyDescent="0.25"/>
    <row r="427" s="3" customFormat="1" ht="12.75" x14ac:dyDescent="0.25"/>
    <row r="428" s="3" customFormat="1" ht="12.75" x14ac:dyDescent="0.25"/>
    <row r="429" s="3" customFormat="1" ht="12.75" x14ac:dyDescent="0.25"/>
    <row r="430" s="3" customFormat="1" ht="12.75" x14ac:dyDescent="0.25"/>
    <row r="431" s="3" customFormat="1" ht="12.75" x14ac:dyDescent="0.25"/>
    <row r="432" s="3" customFormat="1" ht="12.75" x14ac:dyDescent="0.25"/>
    <row r="433" s="3" customFormat="1" ht="12.75" x14ac:dyDescent="0.25"/>
    <row r="434" s="3" customFormat="1" ht="12.75" x14ac:dyDescent="0.25"/>
    <row r="435" s="3" customFormat="1" ht="12.75" x14ac:dyDescent="0.25"/>
    <row r="436" s="3" customFormat="1" ht="12.75" x14ac:dyDescent="0.25"/>
    <row r="437" s="3" customFormat="1" ht="12.75" x14ac:dyDescent="0.25"/>
    <row r="438" s="3" customFormat="1" ht="12.75" x14ac:dyDescent="0.25"/>
    <row r="439" s="3" customFormat="1" ht="12.75" x14ac:dyDescent="0.25"/>
    <row r="440" s="3" customFormat="1" ht="12.75" x14ac:dyDescent="0.25"/>
    <row r="441" s="3" customFormat="1" ht="12.75" x14ac:dyDescent="0.25"/>
    <row r="442" s="3" customFormat="1" ht="12.75" x14ac:dyDescent="0.25"/>
    <row r="443" s="3" customFormat="1" ht="12.75" x14ac:dyDescent="0.25"/>
    <row r="444" s="3" customFormat="1" ht="12.75" x14ac:dyDescent="0.25"/>
    <row r="445" s="3" customFormat="1" ht="12.75" x14ac:dyDescent="0.25"/>
    <row r="446" s="3" customFormat="1" ht="12.75" x14ac:dyDescent="0.25"/>
    <row r="447" s="3" customFormat="1" ht="12.75" x14ac:dyDescent="0.25"/>
    <row r="448" s="3" customFormat="1" ht="12.75" x14ac:dyDescent="0.25"/>
    <row r="449" s="3" customFormat="1" ht="12.75" x14ac:dyDescent="0.25"/>
    <row r="450" s="3" customFormat="1" ht="12.75" x14ac:dyDescent="0.25"/>
    <row r="451" s="3" customFormat="1" ht="12.75" x14ac:dyDescent="0.25"/>
    <row r="452" s="3" customFormat="1" ht="12.75" x14ac:dyDescent="0.25"/>
    <row r="453" s="3" customFormat="1" ht="12.75" x14ac:dyDescent="0.25"/>
    <row r="454" s="3" customFormat="1" ht="12.75" x14ac:dyDescent="0.25"/>
    <row r="455" s="3" customFormat="1" ht="12.75" x14ac:dyDescent="0.25"/>
    <row r="456" s="3" customFormat="1" ht="12.75" x14ac:dyDescent="0.25"/>
    <row r="457" s="3" customFormat="1" ht="12.75" x14ac:dyDescent="0.25"/>
    <row r="458" s="3" customFormat="1" ht="12.75" x14ac:dyDescent="0.25"/>
    <row r="459" s="3" customFormat="1" ht="12.75" x14ac:dyDescent="0.25"/>
    <row r="460" s="3" customFormat="1" ht="12.75" x14ac:dyDescent="0.25"/>
    <row r="461" s="3" customFormat="1" ht="12.75" x14ac:dyDescent="0.25"/>
    <row r="462" s="3" customFormat="1" ht="12.75" x14ac:dyDescent="0.25"/>
    <row r="463" s="3" customFormat="1" ht="12.75" x14ac:dyDescent="0.25"/>
    <row r="464" s="3" customFormat="1" ht="12.75" x14ac:dyDescent="0.25"/>
    <row r="465" s="3" customFormat="1" ht="12.75" x14ac:dyDescent="0.25"/>
    <row r="466" s="3" customFormat="1" ht="12.75" x14ac:dyDescent="0.25"/>
    <row r="467" s="3" customFormat="1" ht="12.75" x14ac:dyDescent="0.25"/>
    <row r="468" s="3" customFormat="1" ht="12.75" x14ac:dyDescent="0.25"/>
    <row r="469" s="3" customFormat="1" ht="12.75" x14ac:dyDescent="0.25"/>
    <row r="470" s="3" customFormat="1" ht="12.75" x14ac:dyDescent="0.25"/>
    <row r="471" s="3" customFormat="1" ht="12.75" x14ac:dyDescent="0.25"/>
    <row r="472" s="3" customFormat="1" ht="12.75" x14ac:dyDescent="0.25"/>
    <row r="473" s="3" customFormat="1" ht="12.75" x14ac:dyDescent="0.25"/>
    <row r="474" s="3" customFormat="1" ht="12.75" x14ac:dyDescent="0.25"/>
    <row r="475" s="3" customFormat="1" ht="12.75" x14ac:dyDescent="0.25"/>
    <row r="476" s="3" customFormat="1" ht="12.75" x14ac:dyDescent="0.25"/>
    <row r="477" s="3" customFormat="1" ht="12.75" x14ac:dyDescent="0.25"/>
    <row r="478" s="3" customFormat="1" ht="12.75" x14ac:dyDescent="0.25"/>
    <row r="479" s="3" customFormat="1" ht="12.75" x14ac:dyDescent="0.25"/>
    <row r="480" s="3" customFormat="1" ht="12.75" x14ac:dyDescent="0.25"/>
    <row r="481" s="3" customFormat="1" ht="12.75" x14ac:dyDescent="0.25"/>
    <row r="482" s="3" customFormat="1" ht="12.75" x14ac:dyDescent="0.25"/>
    <row r="483" s="3" customFormat="1" ht="12.75" x14ac:dyDescent="0.25"/>
    <row r="484" s="3" customFormat="1" ht="12.75" x14ac:dyDescent="0.25"/>
    <row r="485" s="3" customFormat="1" ht="12.75" x14ac:dyDescent="0.25"/>
    <row r="486" s="3" customFormat="1" ht="12.75" x14ac:dyDescent="0.25"/>
    <row r="487" s="3" customFormat="1" ht="12.75" x14ac:dyDescent="0.25"/>
    <row r="488" s="3" customFormat="1" ht="12.75" x14ac:dyDescent="0.25"/>
    <row r="489" s="3" customFormat="1" ht="12.75" x14ac:dyDescent="0.25"/>
    <row r="490" s="3" customFormat="1" ht="12.75" x14ac:dyDescent="0.25"/>
    <row r="491" s="3" customFormat="1" ht="12.75" x14ac:dyDescent="0.25"/>
    <row r="492" s="3" customFormat="1" ht="12.75" x14ac:dyDescent="0.25"/>
    <row r="493" s="3" customFormat="1" ht="12.75" x14ac:dyDescent="0.25"/>
    <row r="494" s="3" customFormat="1" ht="12.75" x14ac:dyDescent="0.25"/>
    <row r="495" s="3" customFormat="1" ht="12.75" x14ac:dyDescent="0.25"/>
    <row r="496" s="3" customFormat="1" ht="12.75" x14ac:dyDescent="0.25"/>
    <row r="497" s="3" customFormat="1" ht="12.75" x14ac:dyDescent="0.25"/>
    <row r="498" s="3" customFormat="1" ht="12.75" x14ac:dyDescent="0.25"/>
    <row r="499" s="3" customFormat="1" ht="12.75" x14ac:dyDescent="0.25"/>
    <row r="500" s="3" customFormat="1" ht="12.75" x14ac:dyDescent="0.25"/>
    <row r="501" s="3" customFormat="1" ht="12.75" x14ac:dyDescent="0.25"/>
    <row r="502" s="3" customFormat="1" ht="12.75" x14ac:dyDescent="0.25"/>
    <row r="503" s="3" customFormat="1" ht="12.75" x14ac:dyDescent="0.25"/>
    <row r="504" s="3" customFormat="1" ht="12.75" x14ac:dyDescent="0.25"/>
    <row r="505" s="3" customFormat="1" ht="12.75" x14ac:dyDescent="0.25"/>
    <row r="506" s="3" customFormat="1" ht="12.75" x14ac:dyDescent="0.25"/>
    <row r="507" s="3" customFormat="1" ht="12.75" x14ac:dyDescent="0.25"/>
    <row r="508" s="3" customFormat="1" ht="12.75" x14ac:dyDescent="0.25"/>
    <row r="509" s="3" customFormat="1" ht="12.75" x14ac:dyDescent="0.25"/>
    <row r="510" s="3" customFormat="1" ht="12.75" x14ac:dyDescent="0.25"/>
    <row r="511" s="3" customFormat="1" ht="12.75" x14ac:dyDescent="0.25"/>
    <row r="512" s="3" customFormat="1" ht="12.75" x14ac:dyDescent="0.25"/>
    <row r="513" s="3" customFormat="1" ht="12.75" x14ac:dyDescent="0.25"/>
    <row r="514" s="3" customFormat="1" ht="12.75" x14ac:dyDescent="0.25"/>
    <row r="515" s="3" customFormat="1" ht="12.75" x14ac:dyDescent="0.25"/>
    <row r="516" s="3" customFormat="1" ht="12.75" x14ac:dyDescent="0.25"/>
    <row r="517" s="3" customFormat="1" ht="12.75" x14ac:dyDescent="0.25"/>
    <row r="518" s="3" customFormat="1" ht="12.75" x14ac:dyDescent="0.25"/>
    <row r="519" s="3" customFormat="1" ht="12.75" x14ac:dyDescent="0.25"/>
    <row r="520" s="3" customFormat="1" ht="12.75" x14ac:dyDescent="0.25"/>
    <row r="521" s="3" customFormat="1" ht="12.75" x14ac:dyDescent="0.25"/>
    <row r="522" s="3" customFormat="1" ht="12.75" x14ac:dyDescent="0.25"/>
    <row r="523" s="3" customFormat="1" ht="12.75" x14ac:dyDescent="0.25"/>
    <row r="524" s="3" customFormat="1" ht="12.75" x14ac:dyDescent="0.25"/>
    <row r="525" s="3" customFormat="1" ht="12.75" x14ac:dyDescent="0.25"/>
    <row r="526" s="3" customFormat="1" ht="12.75" x14ac:dyDescent="0.25"/>
    <row r="527" s="3" customFormat="1" ht="12.75" x14ac:dyDescent="0.25"/>
    <row r="528" s="3" customFormat="1" ht="12.75" x14ac:dyDescent="0.25"/>
    <row r="529" s="3" customFormat="1" ht="12.75" x14ac:dyDescent="0.25"/>
    <row r="530" s="3" customFormat="1" ht="12.75" x14ac:dyDescent="0.25"/>
    <row r="531" s="3" customFormat="1" ht="12.75" x14ac:dyDescent="0.25"/>
    <row r="532" s="3" customFormat="1" ht="12.75" x14ac:dyDescent="0.25"/>
    <row r="533" s="3" customFormat="1" ht="12.75" x14ac:dyDescent="0.25"/>
    <row r="534" s="3" customFormat="1" ht="12.75" x14ac:dyDescent="0.25"/>
    <row r="535" s="3" customFormat="1" ht="12.75" x14ac:dyDescent="0.25"/>
    <row r="536" s="3" customFormat="1" ht="12.75" x14ac:dyDescent="0.25"/>
    <row r="537" s="3" customFormat="1" ht="12.75" x14ac:dyDescent="0.25"/>
    <row r="538" s="3" customFormat="1" ht="12.75" x14ac:dyDescent="0.25"/>
    <row r="539" s="3" customFormat="1" ht="12.75" x14ac:dyDescent="0.25"/>
    <row r="540" s="3" customFormat="1" ht="12.75" x14ac:dyDescent="0.25"/>
    <row r="541" s="3" customFormat="1" ht="12.75" x14ac:dyDescent="0.25"/>
    <row r="542" s="3" customFormat="1" ht="12.75" x14ac:dyDescent="0.25"/>
    <row r="543" s="3" customFormat="1" ht="12.75" x14ac:dyDescent="0.25"/>
    <row r="544" s="3" customFormat="1" ht="12.75" x14ac:dyDescent="0.25"/>
    <row r="545" s="3" customFormat="1" ht="12.75" x14ac:dyDescent="0.25"/>
    <row r="546" s="3" customFormat="1" ht="12.75" x14ac:dyDescent="0.25"/>
    <row r="547" s="3" customFormat="1" ht="12.75" x14ac:dyDescent="0.25"/>
    <row r="548" s="3" customFormat="1" ht="12.75" x14ac:dyDescent="0.25"/>
    <row r="549" s="3" customFormat="1" ht="12.75" x14ac:dyDescent="0.25"/>
    <row r="550" s="3" customFormat="1" ht="12.75" x14ac:dyDescent="0.25"/>
    <row r="551" s="3" customFormat="1" ht="12.75" x14ac:dyDescent="0.25"/>
    <row r="552" s="3" customFormat="1" ht="12.75" x14ac:dyDescent="0.25"/>
    <row r="553" s="3" customFormat="1" ht="12.75" x14ac:dyDescent="0.25"/>
    <row r="554" s="3" customFormat="1" ht="12.75" x14ac:dyDescent="0.25"/>
    <row r="555" s="3" customFormat="1" ht="12.75" x14ac:dyDescent="0.25"/>
    <row r="556" s="3" customFormat="1" ht="12.75" x14ac:dyDescent="0.25"/>
    <row r="557" s="3" customFormat="1" ht="12.75" x14ac:dyDescent="0.25"/>
    <row r="558" s="3" customFormat="1" ht="12.75" x14ac:dyDescent="0.25"/>
    <row r="559" s="3" customFormat="1" ht="12.75" x14ac:dyDescent="0.25"/>
    <row r="560" s="3" customFormat="1" ht="12.75" x14ac:dyDescent="0.25"/>
    <row r="561" s="3" customFormat="1" ht="12.75" x14ac:dyDescent="0.25"/>
    <row r="562" s="3" customFormat="1" ht="12.75" x14ac:dyDescent="0.25"/>
    <row r="563" s="3" customFormat="1" ht="12.75" x14ac:dyDescent="0.25"/>
    <row r="564" s="3" customFormat="1" ht="12.75" x14ac:dyDescent="0.25"/>
    <row r="565" s="3" customFormat="1" ht="12.75" x14ac:dyDescent="0.25"/>
    <row r="566" s="3" customFormat="1" ht="12.75" x14ac:dyDescent="0.25"/>
    <row r="567" s="3" customFormat="1" ht="12.75" x14ac:dyDescent="0.25"/>
    <row r="568" s="3" customFormat="1" ht="12.75" x14ac:dyDescent="0.25"/>
    <row r="569" s="3" customFormat="1" ht="12.75" x14ac:dyDescent="0.25"/>
    <row r="570" s="3" customFormat="1" ht="12.75" x14ac:dyDescent="0.25"/>
    <row r="571" s="3" customFormat="1" ht="12.75" x14ac:dyDescent="0.25"/>
    <row r="572" s="3" customFormat="1" ht="12.75" x14ac:dyDescent="0.25"/>
    <row r="573" s="3" customFormat="1" ht="12.75" x14ac:dyDescent="0.25"/>
    <row r="574" s="3" customFormat="1" ht="12.75" x14ac:dyDescent="0.25"/>
    <row r="575" s="3" customFormat="1" ht="12.75" x14ac:dyDescent="0.25"/>
    <row r="576" s="3" customFormat="1" ht="12.75" x14ac:dyDescent="0.25"/>
    <row r="577" s="3" customFormat="1" ht="12.75" x14ac:dyDescent="0.25"/>
    <row r="578" s="3" customFormat="1" ht="12.75" x14ac:dyDescent="0.25"/>
    <row r="579" s="3" customFormat="1" ht="12.75" x14ac:dyDescent="0.25"/>
    <row r="580" s="3" customFormat="1" ht="12.75" x14ac:dyDescent="0.25"/>
    <row r="581" s="3" customFormat="1" ht="12.75" x14ac:dyDescent="0.25"/>
    <row r="582" s="3" customFormat="1" ht="12.75" x14ac:dyDescent="0.25"/>
    <row r="583" s="3" customFormat="1" ht="12.75" x14ac:dyDescent="0.25"/>
    <row r="584" s="3" customFormat="1" ht="12.75" x14ac:dyDescent="0.25"/>
    <row r="585" s="3" customFormat="1" ht="12.75" x14ac:dyDescent="0.25"/>
    <row r="586" s="3" customFormat="1" ht="12.75" x14ac:dyDescent="0.25"/>
    <row r="587" s="3" customFormat="1" ht="12.75" x14ac:dyDescent="0.25"/>
    <row r="588" s="3" customFormat="1" ht="12.75" x14ac:dyDescent="0.25"/>
    <row r="589" s="3" customFormat="1" ht="12.75" x14ac:dyDescent="0.25"/>
    <row r="590" s="3" customFormat="1" ht="12.75" x14ac:dyDescent="0.25"/>
    <row r="591" s="3" customFormat="1" ht="12.75" x14ac:dyDescent="0.25"/>
    <row r="592" s="3" customFormat="1" ht="12.75" x14ac:dyDescent="0.25"/>
    <row r="593" s="3" customFormat="1" ht="12.75" x14ac:dyDescent="0.25"/>
    <row r="594" s="3" customFormat="1" ht="12.75" x14ac:dyDescent="0.25"/>
    <row r="595" s="3" customFormat="1" ht="12.75" x14ac:dyDescent="0.25"/>
    <row r="596" s="3" customFormat="1" ht="12.75" x14ac:dyDescent="0.25"/>
    <row r="597" s="3" customFormat="1" ht="12.75" x14ac:dyDescent="0.25"/>
    <row r="598" s="3" customFormat="1" ht="12.75" x14ac:dyDescent="0.25"/>
    <row r="599" s="3" customFormat="1" ht="12.75" x14ac:dyDescent="0.25"/>
    <row r="600" s="3" customFormat="1" ht="12.75" x14ac:dyDescent="0.25"/>
    <row r="601" s="3" customFormat="1" ht="12.75" x14ac:dyDescent="0.25"/>
    <row r="602" s="3" customFormat="1" ht="12.75" x14ac:dyDescent="0.25"/>
    <row r="603" s="3" customFormat="1" ht="12.75" x14ac:dyDescent="0.25"/>
    <row r="604" s="3" customFormat="1" ht="12.75" x14ac:dyDescent="0.25"/>
    <row r="605" s="3" customFormat="1" ht="12.75" x14ac:dyDescent="0.25"/>
    <row r="606" s="3" customFormat="1" ht="12.75" x14ac:dyDescent="0.25"/>
    <row r="607" s="3" customFormat="1" ht="12.75" x14ac:dyDescent="0.25"/>
    <row r="608" s="3" customFormat="1" ht="12.75" x14ac:dyDescent="0.25"/>
    <row r="609" s="3" customFormat="1" ht="12.75" x14ac:dyDescent="0.25"/>
    <row r="610" s="3" customFormat="1" ht="12.75" x14ac:dyDescent="0.25"/>
    <row r="611" s="3" customFormat="1" ht="12.75" x14ac:dyDescent="0.25"/>
    <row r="612" s="3" customFormat="1" ht="12.75" x14ac:dyDescent="0.25"/>
    <row r="613" s="3" customFormat="1" ht="12.75" x14ac:dyDescent="0.25"/>
    <row r="614" s="3" customFormat="1" ht="12.75" x14ac:dyDescent="0.25"/>
    <row r="615" s="3" customFormat="1" ht="12.75" x14ac:dyDescent="0.25"/>
    <row r="616" s="3" customFormat="1" ht="12.75" x14ac:dyDescent="0.25"/>
    <row r="617" s="3" customFormat="1" ht="12.75" x14ac:dyDescent="0.25"/>
    <row r="618" s="3" customFormat="1" ht="12.75" x14ac:dyDescent="0.25"/>
    <row r="619" s="3" customFormat="1" ht="12.75" x14ac:dyDescent="0.25"/>
    <row r="620" s="3" customFormat="1" ht="12.75" x14ac:dyDescent="0.25"/>
    <row r="621" s="3" customFormat="1" ht="12.75" x14ac:dyDescent="0.25"/>
    <row r="622" s="3" customFormat="1" ht="12.75" x14ac:dyDescent="0.25"/>
    <row r="623" s="3" customFormat="1" ht="12.75" x14ac:dyDescent="0.25"/>
    <row r="624" s="3" customFormat="1" ht="12.75" x14ac:dyDescent="0.25"/>
    <row r="625" s="3" customFormat="1" ht="12.75" x14ac:dyDescent="0.25"/>
    <row r="626" s="3" customFormat="1" ht="12.75" x14ac:dyDescent="0.25"/>
    <row r="627" s="3" customFormat="1" ht="12.75" x14ac:dyDescent="0.25"/>
    <row r="628" s="3" customFormat="1" ht="12.75" x14ac:dyDescent="0.25"/>
    <row r="629" s="3" customFormat="1" ht="12.75" x14ac:dyDescent="0.25"/>
    <row r="630" s="3" customFormat="1" ht="12.75" x14ac:dyDescent="0.25"/>
    <row r="631" s="3" customFormat="1" ht="12.75" x14ac:dyDescent="0.25"/>
    <row r="632" s="3" customFormat="1" ht="12.75" x14ac:dyDescent="0.25"/>
    <row r="633" s="3" customFormat="1" ht="12.75" x14ac:dyDescent="0.25"/>
    <row r="634" s="3" customFormat="1" ht="12.75" x14ac:dyDescent="0.25"/>
    <row r="635" s="3" customFormat="1" ht="12.75" x14ac:dyDescent="0.25"/>
    <row r="636" s="3" customFormat="1" ht="12.75" x14ac:dyDescent="0.25"/>
    <row r="637" s="3" customFormat="1" ht="12.75" x14ac:dyDescent="0.25"/>
    <row r="638" s="3" customFormat="1" ht="12.75" x14ac:dyDescent="0.25"/>
    <row r="639" s="3" customFormat="1" ht="12.75" x14ac:dyDescent="0.25"/>
    <row r="640" s="3" customFormat="1" ht="12.75" x14ac:dyDescent="0.25"/>
    <row r="641" s="3" customFormat="1" ht="12.75" x14ac:dyDescent="0.25"/>
    <row r="642" s="3" customFormat="1" ht="12.75" x14ac:dyDescent="0.25"/>
    <row r="643" s="3" customFormat="1" ht="12.75" x14ac:dyDescent="0.25"/>
    <row r="644" s="3" customFormat="1" ht="12.75" x14ac:dyDescent="0.25"/>
    <row r="645" s="3" customFormat="1" ht="12.75" x14ac:dyDescent="0.25"/>
    <row r="646" s="3" customFormat="1" ht="12.75" x14ac:dyDescent="0.25"/>
    <row r="647" s="3" customFormat="1" ht="12.75" x14ac:dyDescent="0.25"/>
    <row r="648" s="3" customFormat="1" ht="12.75" x14ac:dyDescent="0.25"/>
    <row r="649" s="3" customFormat="1" ht="12.75" x14ac:dyDescent="0.25"/>
    <row r="650" s="3" customFormat="1" ht="12.75" x14ac:dyDescent="0.25"/>
    <row r="651" s="3" customFormat="1" ht="12.75" x14ac:dyDescent="0.25"/>
    <row r="652" s="3" customFormat="1" ht="12.75" x14ac:dyDescent="0.25"/>
    <row r="653" s="3" customFormat="1" ht="12.75" x14ac:dyDescent="0.25"/>
    <row r="654" s="3" customFormat="1" ht="12.75" x14ac:dyDescent="0.25"/>
    <row r="655" s="3" customFormat="1" ht="12.75" x14ac:dyDescent="0.25"/>
    <row r="656" s="3" customFormat="1" ht="12.75" x14ac:dyDescent="0.25"/>
    <row r="657" s="3" customFormat="1" ht="12.75" x14ac:dyDescent="0.25"/>
    <row r="658" s="3" customFormat="1" ht="12.75" x14ac:dyDescent="0.25"/>
    <row r="659" s="3" customFormat="1" ht="12.75" x14ac:dyDescent="0.25"/>
    <row r="660" s="3" customFormat="1" ht="12.75" x14ac:dyDescent="0.25"/>
    <row r="661" s="3" customFormat="1" ht="12.75" x14ac:dyDescent="0.25"/>
    <row r="662" s="3" customFormat="1" ht="12.75" x14ac:dyDescent="0.25"/>
    <row r="663" s="3" customFormat="1" ht="12.75" x14ac:dyDescent="0.25"/>
    <row r="664" s="3" customFormat="1" ht="12.75" x14ac:dyDescent="0.25"/>
    <row r="665" s="3" customFormat="1" ht="12.75" x14ac:dyDescent="0.25"/>
    <row r="666" s="3" customFormat="1" ht="12.75" x14ac:dyDescent="0.25"/>
    <row r="667" s="3" customFormat="1" ht="12.75" x14ac:dyDescent="0.25"/>
    <row r="668" s="3" customFormat="1" ht="12.75" x14ac:dyDescent="0.25"/>
    <row r="669" s="3" customFormat="1" ht="12.75" x14ac:dyDescent="0.25"/>
    <row r="670" s="3" customFormat="1" ht="12.75" x14ac:dyDescent="0.25"/>
    <row r="671" s="3" customFormat="1" ht="12.75" x14ac:dyDescent="0.25"/>
    <row r="672" s="3" customFormat="1" ht="12.75" x14ac:dyDescent="0.25"/>
    <row r="673" s="3" customFormat="1" ht="12.75" x14ac:dyDescent="0.25"/>
    <row r="674" s="3" customFormat="1" ht="12.75" x14ac:dyDescent="0.25"/>
    <row r="675" s="3" customFormat="1" ht="12.75" x14ac:dyDescent="0.25"/>
    <row r="676" s="3" customFormat="1" ht="12.75" x14ac:dyDescent="0.25"/>
    <row r="677" s="3" customFormat="1" ht="12.75" x14ac:dyDescent="0.25"/>
    <row r="678" s="3" customFormat="1" ht="12.75" x14ac:dyDescent="0.25"/>
    <row r="679" s="3" customFormat="1" ht="12.75" x14ac:dyDescent="0.25"/>
    <row r="680" s="3" customFormat="1" ht="12.75" x14ac:dyDescent="0.25"/>
    <row r="681" s="3" customFormat="1" ht="12.75" x14ac:dyDescent="0.25"/>
    <row r="682" s="3" customFormat="1" ht="12.75" x14ac:dyDescent="0.25"/>
    <row r="683" s="3" customFormat="1" ht="12.75" x14ac:dyDescent="0.25"/>
    <row r="684" s="3" customFormat="1" ht="12.75" x14ac:dyDescent="0.25"/>
    <row r="685" s="3" customFormat="1" ht="12.75" x14ac:dyDescent="0.25"/>
    <row r="686" s="3" customFormat="1" ht="12.75" x14ac:dyDescent="0.25"/>
    <row r="687" s="3" customFormat="1" ht="12.75" x14ac:dyDescent="0.25"/>
    <row r="688" s="3" customFormat="1" ht="12.75" x14ac:dyDescent="0.25"/>
    <row r="689" s="3" customFormat="1" ht="12.75" x14ac:dyDescent="0.25"/>
    <row r="690" s="3" customFormat="1" ht="12.75" x14ac:dyDescent="0.25"/>
    <row r="691" s="3" customFormat="1" ht="12.75" x14ac:dyDescent="0.25"/>
    <row r="692" s="3" customFormat="1" ht="12.75" x14ac:dyDescent="0.25"/>
    <row r="693" s="3" customFormat="1" ht="12.75" x14ac:dyDescent="0.25"/>
    <row r="694" s="3" customFormat="1" ht="12.75" x14ac:dyDescent="0.25"/>
    <row r="695" s="3" customFormat="1" ht="12.75" x14ac:dyDescent="0.25"/>
    <row r="696" s="3" customFormat="1" ht="12.75" x14ac:dyDescent="0.25"/>
    <row r="697" s="3" customFormat="1" ht="12.75" x14ac:dyDescent="0.25"/>
    <row r="698" s="3" customFormat="1" ht="12.75" x14ac:dyDescent="0.25"/>
    <row r="699" s="3" customFormat="1" ht="12.75" x14ac:dyDescent="0.25"/>
    <row r="700" s="3" customFormat="1" ht="12.75" x14ac:dyDescent="0.25"/>
    <row r="701" s="3" customFormat="1" ht="12.75" x14ac:dyDescent="0.25"/>
    <row r="702" s="3" customFormat="1" ht="12.75" x14ac:dyDescent="0.25"/>
    <row r="703" s="3" customFormat="1" ht="12.75" x14ac:dyDescent="0.25"/>
    <row r="704" s="3" customFormat="1" ht="12.75" x14ac:dyDescent="0.25"/>
    <row r="705" s="3" customFormat="1" ht="12.75" x14ac:dyDescent="0.25"/>
    <row r="706" s="3" customFormat="1" ht="12.75" x14ac:dyDescent="0.25"/>
    <row r="707" s="3" customFormat="1" ht="12.75" x14ac:dyDescent="0.25"/>
    <row r="708" s="3" customFormat="1" ht="12.75" x14ac:dyDescent="0.25"/>
    <row r="709" s="3" customFormat="1" ht="12.75" x14ac:dyDescent="0.25"/>
    <row r="710" s="3" customFormat="1" ht="12.75" x14ac:dyDescent="0.25"/>
    <row r="711" s="3" customFormat="1" ht="12.75" x14ac:dyDescent="0.25"/>
    <row r="712" s="3" customFormat="1" ht="12.75" x14ac:dyDescent="0.25"/>
    <row r="713" s="3" customFormat="1" ht="12.75" x14ac:dyDescent="0.25"/>
    <row r="714" s="3" customFormat="1" ht="12.75" x14ac:dyDescent="0.25"/>
    <row r="715" s="3" customFormat="1" ht="12.75" x14ac:dyDescent="0.25"/>
    <row r="716" s="3" customFormat="1" ht="12.75" x14ac:dyDescent="0.25"/>
    <row r="717" s="3" customFormat="1" ht="12.75" x14ac:dyDescent="0.25"/>
    <row r="718" s="3" customFormat="1" ht="12.75" x14ac:dyDescent="0.25"/>
    <row r="719" s="3" customFormat="1" ht="12.75" x14ac:dyDescent="0.25"/>
    <row r="720" s="3" customFormat="1" ht="12.75" x14ac:dyDescent="0.25"/>
    <row r="721" s="3" customFormat="1" ht="12.75" x14ac:dyDescent="0.25"/>
    <row r="722" s="3" customFormat="1" ht="12.75" x14ac:dyDescent="0.25"/>
    <row r="723" s="3" customFormat="1" ht="12.75" x14ac:dyDescent="0.25"/>
    <row r="724" s="3" customFormat="1" ht="12.75" x14ac:dyDescent="0.25"/>
    <row r="725" s="3" customFormat="1" ht="12.75" x14ac:dyDescent="0.25"/>
    <row r="726" s="3" customFormat="1" ht="12.75" x14ac:dyDescent="0.25"/>
    <row r="727" s="3" customFormat="1" ht="12.75" x14ac:dyDescent="0.25"/>
    <row r="728" s="3" customFormat="1" ht="12.75" x14ac:dyDescent="0.25"/>
    <row r="729" s="3" customFormat="1" ht="12.75" x14ac:dyDescent="0.25"/>
    <row r="730" s="3" customFormat="1" ht="12.75" x14ac:dyDescent="0.25"/>
    <row r="731" s="3" customFormat="1" ht="12.75" x14ac:dyDescent="0.25"/>
    <row r="732" s="3" customFormat="1" ht="12.75" x14ac:dyDescent="0.25"/>
    <row r="733" s="3" customFormat="1" ht="12.75" x14ac:dyDescent="0.25"/>
    <row r="734" s="3" customFormat="1" ht="12.75" x14ac:dyDescent="0.25"/>
    <row r="735" s="3" customFormat="1" ht="12.75" x14ac:dyDescent="0.25"/>
    <row r="736" s="3" customFormat="1" ht="12.75" x14ac:dyDescent="0.25"/>
    <row r="737" s="3" customFormat="1" ht="12.75" x14ac:dyDescent="0.25"/>
    <row r="738" s="3" customFormat="1" ht="12.75" x14ac:dyDescent="0.25"/>
    <row r="739" s="3" customFormat="1" ht="12.75" x14ac:dyDescent="0.25"/>
    <row r="740" s="3" customFormat="1" ht="12.75" x14ac:dyDescent="0.25"/>
    <row r="741" s="3" customFormat="1" ht="12.75" x14ac:dyDescent="0.25"/>
    <row r="742" s="3" customFormat="1" ht="12.75" x14ac:dyDescent="0.25"/>
    <row r="743" s="3" customFormat="1" ht="12.75" x14ac:dyDescent="0.25"/>
    <row r="744" s="3" customFormat="1" ht="12.75" x14ac:dyDescent="0.25"/>
    <row r="745" s="3" customFormat="1" ht="12.75" x14ac:dyDescent="0.25"/>
    <row r="746" s="3" customFormat="1" ht="12.75" x14ac:dyDescent="0.25"/>
    <row r="747" s="3" customFormat="1" ht="12.75" x14ac:dyDescent="0.25"/>
    <row r="748" s="3" customFormat="1" ht="12.75" x14ac:dyDescent="0.25"/>
    <row r="749" s="3" customFormat="1" ht="12.75" x14ac:dyDescent="0.25"/>
    <row r="750" s="3" customFormat="1" ht="12.75" x14ac:dyDescent="0.25"/>
    <row r="751" s="3" customFormat="1" ht="12.75" x14ac:dyDescent="0.25"/>
    <row r="752" s="3" customFormat="1" ht="12.75" x14ac:dyDescent="0.25"/>
    <row r="753" s="3" customFormat="1" ht="12.75" x14ac:dyDescent="0.25"/>
    <row r="754" s="3" customFormat="1" ht="12.75" x14ac:dyDescent="0.25"/>
    <row r="755" s="3" customFormat="1" ht="12.75" x14ac:dyDescent="0.25"/>
    <row r="756" s="3" customFormat="1" ht="12.75" x14ac:dyDescent="0.25"/>
    <row r="757" s="3" customFormat="1" ht="12.75" x14ac:dyDescent="0.25"/>
    <row r="758" s="3" customFormat="1" ht="12.75" x14ac:dyDescent="0.25"/>
    <row r="759" s="3" customFormat="1" ht="12.75" x14ac:dyDescent="0.25"/>
    <row r="760" s="3" customFormat="1" ht="12.75" x14ac:dyDescent="0.25"/>
    <row r="761" s="3" customFormat="1" ht="12.75" x14ac:dyDescent="0.25"/>
    <row r="762" s="3" customFormat="1" ht="12.75" x14ac:dyDescent="0.25"/>
    <row r="763" s="3" customFormat="1" ht="12.75" x14ac:dyDescent="0.25"/>
    <row r="764" s="3" customFormat="1" ht="12.75" x14ac:dyDescent="0.25"/>
    <row r="765" s="3" customFormat="1" ht="12.75" x14ac:dyDescent="0.25"/>
    <row r="766" s="3" customFormat="1" ht="12.75" x14ac:dyDescent="0.25"/>
    <row r="767" s="3" customFormat="1" ht="12.75" x14ac:dyDescent="0.25"/>
    <row r="768" s="3" customFormat="1" ht="12.75" x14ac:dyDescent="0.25"/>
    <row r="769" s="3" customFormat="1" ht="12.75" x14ac:dyDescent="0.25"/>
    <row r="770" s="3" customFormat="1" ht="12.75" x14ac:dyDescent="0.25"/>
    <row r="771" s="3" customFormat="1" ht="12.75" x14ac:dyDescent="0.25"/>
    <row r="772" s="3" customFormat="1" ht="12.75" x14ac:dyDescent="0.25"/>
    <row r="773" s="3" customFormat="1" ht="12.75" x14ac:dyDescent="0.25"/>
    <row r="774" s="3" customFormat="1" ht="12.75" x14ac:dyDescent="0.25"/>
    <row r="775" s="3" customFormat="1" ht="12.75" x14ac:dyDescent="0.25"/>
    <row r="776" s="3" customFormat="1" ht="12.75" x14ac:dyDescent="0.25"/>
    <row r="777" s="3" customFormat="1" ht="12.75" x14ac:dyDescent="0.25"/>
    <row r="778" s="3" customFormat="1" ht="12.75" x14ac:dyDescent="0.25"/>
    <row r="779" s="3" customFormat="1" ht="12.75" x14ac:dyDescent="0.25"/>
    <row r="780" s="3" customFormat="1" ht="12.75" x14ac:dyDescent="0.25"/>
    <row r="781" s="3" customFormat="1" ht="12.75" x14ac:dyDescent="0.25"/>
    <row r="782" s="3" customFormat="1" ht="12.75" x14ac:dyDescent="0.25"/>
    <row r="783" s="3" customFormat="1" ht="12.75" x14ac:dyDescent="0.25"/>
    <row r="784" s="3" customFormat="1" ht="12.75" x14ac:dyDescent="0.25"/>
    <row r="785" s="3" customFormat="1" ht="12.75" x14ac:dyDescent="0.25"/>
    <row r="786" s="3" customFormat="1" ht="12.75" x14ac:dyDescent="0.25"/>
    <row r="787" s="3" customFormat="1" ht="12.75" x14ac:dyDescent="0.25"/>
    <row r="788" s="3" customFormat="1" ht="12.75" x14ac:dyDescent="0.25"/>
    <row r="789" s="3" customFormat="1" ht="12.75" x14ac:dyDescent="0.25"/>
    <row r="790" s="3" customFormat="1" ht="12.75" x14ac:dyDescent="0.25"/>
    <row r="791" s="3" customFormat="1" ht="12.75" x14ac:dyDescent="0.25"/>
    <row r="792" s="3" customFormat="1" ht="12.75" x14ac:dyDescent="0.25"/>
    <row r="793" s="3" customFormat="1" ht="12.75" x14ac:dyDescent="0.25"/>
    <row r="794" s="3" customFormat="1" ht="12.75" x14ac:dyDescent="0.25"/>
    <row r="795" s="3" customFormat="1" ht="12.75" x14ac:dyDescent="0.25"/>
    <row r="796" s="3" customFormat="1" ht="12.75" x14ac:dyDescent="0.25"/>
    <row r="797" s="3" customFormat="1" ht="12.75" x14ac:dyDescent="0.25"/>
    <row r="798" s="3" customFormat="1" ht="12.75" x14ac:dyDescent="0.25"/>
    <row r="799" s="3" customFormat="1" ht="12.75" x14ac:dyDescent="0.25"/>
    <row r="800" s="3" customFormat="1" ht="12.75" x14ac:dyDescent="0.25"/>
    <row r="801" s="3" customFormat="1" ht="12.75" x14ac:dyDescent="0.25"/>
    <row r="802" s="3" customFormat="1" ht="12.75" x14ac:dyDescent="0.25"/>
    <row r="803" s="3" customFormat="1" ht="12.75" x14ac:dyDescent="0.25"/>
    <row r="804" s="3" customFormat="1" ht="12.75" x14ac:dyDescent="0.25"/>
    <row r="805" s="3" customFormat="1" ht="12.75" x14ac:dyDescent="0.25"/>
    <row r="806" s="3" customFormat="1" ht="12.75" x14ac:dyDescent="0.25"/>
    <row r="807" s="3" customFormat="1" ht="12.75" x14ac:dyDescent="0.25"/>
    <row r="808" s="3" customFormat="1" ht="12.75" x14ac:dyDescent="0.25"/>
    <row r="809" s="3" customFormat="1" ht="12.75" x14ac:dyDescent="0.25"/>
    <row r="810" s="3" customFormat="1" ht="12.75" x14ac:dyDescent="0.25"/>
    <row r="811" s="3" customFormat="1" ht="12.75" x14ac:dyDescent="0.25"/>
    <row r="812" s="3" customFormat="1" ht="12.75" x14ac:dyDescent="0.25"/>
    <row r="813" s="3" customFormat="1" ht="12.75" x14ac:dyDescent="0.25"/>
    <row r="814" s="3" customFormat="1" ht="12.75" x14ac:dyDescent="0.25"/>
    <row r="815" s="3" customFormat="1" ht="12.75" x14ac:dyDescent="0.25"/>
    <row r="816" s="3" customFormat="1" ht="12.75" x14ac:dyDescent="0.25"/>
    <row r="817" s="3" customFormat="1" ht="12.75" x14ac:dyDescent="0.25"/>
    <row r="818" s="3" customFormat="1" ht="12.75" x14ac:dyDescent="0.25"/>
    <row r="819" s="3" customFormat="1" ht="12.75" x14ac:dyDescent="0.25"/>
    <row r="820" s="3" customFormat="1" ht="12.75" x14ac:dyDescent="0.25"/>
    <row r="821" s="3" customFormat="1" ht="12.75" x14ac:dyDescent="0.25"/>
    <row r="822" s="3" customFormat="1" ht="12.75" x14ac:dyDescent="0.25"/>
    <row r="823" s="3" customFormat="1" ht="12.75" x14ac:dyDescent="0.25"/>
    <row r="824" s="3" customFormat="1" ht="12.75" x14ac:dyDescent="0.25"/>
    <row r="825" s="3" customFormat="1" ht="12.75" x14ac:dyDescent="0.25"/>
    <row r="826" s="3" customFormat="1" ht="12.75" x14ac:dyDescent="0.25"/>
    <row r="827" s="3" customFormat="1" ht="12.75" x14ac:dyDescent="0.25"/>
    <row r="828" s="3" customFormat="1" ht="12.75" x14ac:dyDescent="0.25"/>
    <row r="829" s="3" customFormat="1" ht="12.75" x14ac:dyDescent="0.25"/>
    <row r="830" s="3" customFormat="1" ht="12.75" x14ac:dyDescent="0.25"/>
    <row r="831" s="3" customFormat="1" ht="12.75" x14ac:dyDescent="0.25"/>
    <row r="832" s="3" customFormat="1" ht="12.75" x14ac:dyDescent="0.25"/>
    <row r="833" s="3" customFormat="1" ht="12.75" x14ac:dyDescent="0.25"/>
    <row r="834" s="3" customFormat="1" ht="12.75" x14ac:dyDescent="0.25"/>
    <row r="835" s="3" customFormat="1" ht="12.75" x14ac:dyDescent="0.25"/>
    <row r="836" s="3" customFormat="1" ht="12.75" x14ac:dyDescent="0.25"/>
    <row r="837" s="3" customFormat="1" ht="12.75" x14ac:dyDescent="0.25"/>
    <row r="838" s="3" customFormat="1" ht="12.75" x14ac:dyDescent="0.25"/>
    <row r="839" s="3" customFormat="1" ht="12.75" x14ac:dyDescent="0.25"/>
    <row r="840" s="3" customFormat="1" ht="12.75" x14ac:dyDescent="0.25"/>
    <row r="841" s="3" customFormat="1" ht="12.75" x14ac:dyDescent="0.25"/>
    <row r="842" s="3" customFormat="1" ht="12.75" x14ac:dyDescent="0.25"/>
    <row r="843" s="3" customFormat="1" ht="12.75" x14ac:dyDescent="0.25"/>
    <row r="844" s="3" customFormat="1" ht="12.75" x14ac:dyDescent="0.25"/>
    <row r="845" s="3" customFormat="1" ht="12.75" x14ac:dyDescent="0.25"/>
    <row r="846" s="3" customFormat="1" ht="12.75" x14ac:dyDescent="0.25"/>
    <row r="847" s="3" customFormat="1" ht="12.75" x14ac:dyDescent="0.25"/>
    <row r="848" s="3" customFormat="1" ht="12.75" x14ac:dyDescent="0.25"/>
    <row r="849" s="3" customFormat="1" ht="12.75" x14ac:dyDescent="0.25"/>
    <row r="850" s="3" customFormat="1" ht="12.75" x14ac:dyDescent="0.25"/>
    <row r="851" s="3" customFormat="1" ht="12.75" x14ac:dyDescent="0.25"/>
    <row r="852" s="3" customFormat="1" ht="12.75" x14ac:dyDescent="0.25"/>
    <row r="853" s="3" customFormat="1" ht="12.75" x14ac:dyDescent="0.25"/>
    <row r="854" s="3" customFormat="1" ht="12.75" x14ac:dyDescent="0.25"/>
    <row r="855" s="3" customFormat="1" ht="12.75" x14ac:dyDescent="0.25"/>
    <row r="856" s="3" customFormat="1" ht="12.75" x14ac:dyDescent="0.25"/>
    <row r="857" s="3" customFormat="1" ht="12.75" x14ac:dyDescent="0.25"/>
    <row r="858" s="3" customFormat="1" ht="12.75" x14ac:dyDescent="0.25"/>
    <row r="859" s="3" customFormat="1" ht="12.75" x14ac:dyDescent="0.25"/>
    <row r="860" s="3" customFormat="1" ht="12.75" x14ac:dyDescent="0.25"/>
    <row r="861" s="3" customFormat="1" ht="12.75" x14ac:dyDescent="0.25"/>
    <row r="862" s="3" customFormat="1" ht="12.75" x14ac:dyDescent="0.25"/>
    <row r="863" s="3" customFormat="1" ht="12.75" x14ac:dyDescent="0.25"/>
    <row r="864" s="3" customFormat="1" ht="12.75" x14ac:dyDescent="0.25"/>
    <row r="865" s="3" customFormat="1" ht="12.75" x14ac:dyDescent="0.25"/>
    <row r="866" s="3" customFormat="1" ht="12.75" x14ac:dyDescent="0.25"/>
    <row r="867" s="3" customFormat="1" ht="12.75" x14ac:dyDescent="0.25"/>
    <row r="868" s="3" customFormat="1" ht="12.75" x14ac:dyDescent="0.25"/>
    <row r="869" s="3" customFormat="1" ht="12.75" x14ac:dyDescent="0.25"/>
    <row r="870" s="3" customFormat="1" ht="12.75" x14ac:dyDescent="0.25"/>
    <row r="871" s="3" customFormat="1" ht="12.75" x14ac:dyDescent="0.25"/>
    <row r="872" s="3" customFormat="1" ht="12.75" x14ac:dyDescent="0.25"/>
    <row r="873" s="3" customFormat="1" ht="12.75" x14ac:dyDescent="0.25"/>
    <row r="874" s="3" customFormat="1" ht="12.75" x14ac:dyDescent="0.25"/>
    <row r="875" s="3" customFormat="1" ht="12.75" x14ac:dyDescent="0.25"/>
    <row r="876" s="3" customFormat="1" ht="12.75" x14ac:dyDescent="0.25"/>
    <row r="877" s="3" customFormat="1" ht="12.75" x14ac:dyDescent="0.25"/>
    <row r="878" s="3" customFormat="1" ht="12.75" x14ac:dyDescent="0.25"/>
    <row r="879" s="3" customFormat="1" ht="12.75" x14ac:dyDescent="0.25"/>
    <row r="880" s="3" customFormat="1" ht="12.75" x14ac:dyDescent="0.25"/>
    <row r="881" s="3" customFormat="1" ht="12.75" x14ac:dyDescent="0.25"/>
    <row r="882" s="3" customFormat="1" ht="12.75" x14ac:dyDescent="0.25"/>
    <row r="883" s="3" customFormat="1" ht="12.75" x14ac:dyDescent="0.25"/>
    <row r="884" s="3" customFormat="1" ht="12.75" x14ac:dyDescent="0.25"/>
    <row r="885" s="3" customFormat="1" ht="12.75" x14ac:dyDescent="0.25"/>
    <row r="886" s="3" customFormat="1" ht="12.75" x14ac:dyDescent="0.25"/>
    <row r="887" s="3" customFormat="1" ht="12.75" x14ac:dyDescent="0.25"/>
    <row r="888" s="3" customFormat="1" ht="12.75" x14ac:dyDescent="0.25"/>
    <row r="889" s="3" customFormat="1" ht="12.75" x14ac:dyDescent="0.25"/>
    <row r="890" s="3" customFormat="1" ht="12.75" x14ac:dyDescent="0.25"/>
    <row r="891" s="3" customFormat="1" ht="12.75" x14ac:dyDescent="0.25"/>
    <row r="892" s="3" customFormat="1" ht="12.75" x14ac:dyDescent="0.25"/>
    <row r="893" s="3" customFormat="1" ht="12.75" x14ac:dyDescent="0.25"/>
    <row r="894" s="3" customFormat="1" ht="12.75" x14ac:dyDescent="0.25"/>
    <row r="895" s="3" customFormat="1" ht="12.75" x14ac:dyDescent="0.25"/>
    <row r="896" s="3" customFormat="1" ht="12.75" x14ac:dyDescent="0.25"/>
    <row r="897" s="3" customFormat="1" ht="12.75" x14ac:dyDescent="0.25"/>
    <row r="898" s="3" customFormat="1" ht="12.75" x14ac:dyDescent="0.25"/>
    <row r="899" s="3" customFormat="1" ht="12.75" x14ac:dyDescent="0.25"/>
    <row r="900" s="3" customFormat="1" ht="12.75" x14ac:dyDescent="0.25"/>
    <row r="901" s="3" customFormat="1" ht="12.75" x14ac:dyDescent="0.25"/>
    <row r="902" s="3" customFormat="1" ht="12.75" x14ac:dyDescent="0.25"/>
    <row r="903" s="3" customFormat="1" ht="12.75" x14ac:dyDescent="0.25"/>
    <row r="904" s="3" customFormat="1" ht="12.75" x14ac:dyDescent="0.25"/>
    <row r="905" s="3" customFormat="1" ht="12.75" x14ac:dyDescent="0.25"/>
    <row r="906" s="3" customFormat="1" ht="12.75" x14ac:dyDescent="0.25"/>
    <row r="907" s="3" customFormat="1" ht="12.75" x14ac:dyDescent="0.25"/>
    <row r="908" s="3" customFormat="1" ht="12.75" x14ac:dyDescent="0.25"/>
    <row r="909" s="3" customFormat="1" ht="12.75" x14ac:dyDescent="0.25"/>
    <row r="910" s="3" customFormat="1" ht="12.75" x14ac:dyDescent="0.25"/>
    <row r="911" s="3" customFormat="1" ht="12.75" x14ac:dyDescent="0.25"/>
    <row r="912" s="3" customFormat="1" ht="12.75" x14ac:dyDescent="0.25"/>
    <row r="913" s="3" customFormat="1" ht="12.75" x14ac:dyDescent="0.25"/>
    <row r="914" s="3" customFormat="1" ht="12.75" x14ac:dyDescent="0.25"/>
    <row r="915" s="3" customFormat="1" ht="12.75" x14ac:dyDescent="0.25"/>
    <row r="916" s="3" customFormat="1" ht="12.75" x14ac:dyDescent="0.25"/>
    <row r="917" s="3" customFormat="1" ht="12.75" x14ac:dyDescent="0.25"/>
    <row r="918" s="3" customFormat="1" ht="12.75" x14ac:dyDescent="0.25"/>
    <row r="919" s="3" customFormat="1" ht="12.75" x14ac:dyDescent="0.25"/>
    <row r="920" s="3" customFormat="1" ht="12.75" x14ac:dyDescent="0.25"/>
    <row r="921" s="3" customFormat="1" ht="12.75" x14ac:dyDescent="0.25"/>
    <row r="922" s="3" customFormat="1" ht="12.75" x14ac:dyDescent="0.25"/>
    <row r="923" s="3" customFormat="1" ht="12.75" x14ac:dyDescent="0.25"/>
    <row r="924" s="3" customFormat="1" ht="12.75" x14ac:dyDescent="0.25"/>
    <row r="925" s="3" customFormat="1" ht="12.75" x14ac:dyDescent="0.25"/>
    <row r="926" s="3" customFormat="1" ht="12.75" x14ac:dyDescent="0.25"/>
    <row r="927" s="3" customFormat="1" ht="12.75" x14ac:dyDescent="0.25"/>
    <row r="928" s="3" customFormat="1" ht="12.75" x14ac:dyDescent="0.25"/>
    <row r="929" s="3" customFormat="1" ht="12.75" x14ac:dyDescent="0.25"/>
    <row r="930" s="3" customFormat="1" ht="12.75" x14ac:dyDescent="0.25"/>
    <row r="931" s="3" customFormat="1" ht="12.75" x14ac:dyDescent="0.25"/>
    <row r="932" s="3" customFormat="1" ht="12.75" x14ac:dyDescent="0.25"/>
    <row r="933" s="3" customFormat="1" ht="12.75" x14ac:dyDescent="0.25"/>
    <row r="934" s="3" customFormat="1" ht="12.75" x14ac:dyDescent="0.25"/>
    <row r="935" s="3" customFormat="1" ht="12.75" x14ac:dyDescent="0.25"/>
    <row r="936" s="3" customFormat="1" ht="12.75" x14ac:dyDescent="0.25"/>
    <row r="937" s="3" customFormat="1" ht="12.75" x14ac:dyDescent="0.25"/>
    <row r="938" s="3" customFormat="1" ht="12.75" x14ac:dyDescent="0.25"/>
    <row r="939" s="3" customFormat="1" ht="12.75" x14ac:dyDescent="0.25"/>
    <row r="940" s="3" customFormat="1" ht="12.75" x14ac:dyDescent="0.25"/>
    <row r="941" s="3" customFormat="1" ht="12.75" x14ac:dyDescent="0.25"/>
    <row r="942" s="3" customFormat="1" ht="12.75" x14ac:dyDescent="0.25"/>
    <row r="943" s="3" customFormat="1" ht="12.75" x14ac:dyDescent="0.25"/>
    <row r="944" s="3" customFormat="1" ht="12.75" x14ac:dyDescent="0.25"/>
    <row r="945" s="3" customFormat="1" ht="12.75" x14ac:dyDescent="0.25"/>
    <row r="946" s="3" customFormat="1" ht="12.75" x14ac:dyDescent="0.25"/>
    <row r="947" s="3" customFormat="1" ht="12.75" x14ac:dyDescent="0.25"/>
    <row r="948" s="3" customFormat="1" ht="12.75" x14ac:dyDescent="0.25"/>
    <row r="949" s="3" customFormat="1" ht="12.75" x14ac:dyDescent="0.25"/>
    <row r="950" s="3" customFormat="1" ht="12.75" x14ac:dyDescent="0.25"/>
    <row r="951" s="3" customFormat="1" ht="12.75" x14ac:dyDescent="0.25"/>
    <row r="952" s="3" customFormat="1" ht="12.75" x14ac:dyDescent="0.25"/>
    <row r="953" s="3" customFormat="1" ht="12.75" x14ac:dyDescent="0.25"/>
    <row r="954" s="3" customFormat="1" ht="12.75" x14ac:dyDescent="0.25"/>
    <row r="955" s="3" customFormat="1" ht="12.75" x14ac:dyDescent="0.25"/>
    <row r="956" s="3" customFormat="1" ht="12.75" x14ac:dyDescent="0.25"/>
    <row r="957" s="3" customFormat="1" ht="12.75" x14ac:dyDescent="0.25"/>
    <row r="958" s="3" customFormat="1" ht="12.75" x14ac:dyDescent="0.25"/>
    <row r="959" s="3" customFormat="1" ht="12.75" x14ac:dyDescent="0.25"/>
    <row r="960" s="3" customFormat="1" ht="12.75" x14ac:dyDescent="0.25"/>
    <row r="961" s="3" customFormat="1" ht="12.75" x14ac:dyDescent="0.25"/>
    <row r="962" s="3" customFormat="1" ht="12.75" x14ac:dyDescent="0.25"/>
    <row r="963" s="3" customFormat="1" ht="12.75" x14ac:dyDescent="0.25"/>
    <row r="964" s="3" customFormat="1" ht="12.75" x14ac:dyDescent="0.25"/>
    <row r="965" s="3" customFormat="1" ht="12.75" x14ac:dyDescent="0.25"/>
    <row r="966" s="3" customFormat="1" ht="12.75" x14ac:dyDescent="0.25"/>
    <row r="967" s="3" customFormat="1" ht="12.75" x14ac:dyDescent="0.25"/>
    <row r="968" s="3" customFormat="1" ht="12.75" x14ac:dyDescent="0.25"/>
    <row r="969" s="3" customFormat="1" ht="12.75" x14ac:dyDescent="0.25"/>
    <row r="970" s="3" customFormat="1" ht="12.75" x14ac:dyDescent="0.25"/>
    <row r="971" s="3" customFormat="1" ht="12.75" x14ac:dyDescent="0.25"/>
    <row r="972" s="3" customFormat="1" ht="12.75" x14ac:dyDescent="0.25"/>
    <row r="973" s="3" customFormat="1" ht="12.75" x14ac:dyDescent="0.25"/>
    <row r="974" s="3" customFormat="1" ht="12.75" x14ac:dyDescent="0.25"/>
    <row r="975" s="3" customFormat="1" ht="12.75" x14ac:dyDescent="0.25"/>
    <row r="976" s="3" customFormat="1" ht="12.75" x14ac:dyDescent="0.25"/>
    <row r="977" s="3" customFormat="1" ht="12.75" x14ac:dyDescent="0.25"/>
    <row r="978" s="3" customFormat="1" ht="12.75" x14ac:dyDescent="0.25"/>
    <row r="979" s="3" customFormat="1" ht="12.75" x14ac:dyDescent="0.25"/>
    <row r="980" s="3" customFormat="1" ht="12.75" x14ac:dyDescent="0.25"/>
    <row r="981" s="3" customFormat="1" ht="12.75" x14ac:dyDescent="0.25"/>
    <row r="982" s="3" customFormat="1" ht="12.75" x14ac:dyDescent="0.25"/>
    <row r="983" s="3" customFormat="1" ht="12.75" x14ac:dyDescent="0.25"/>
    <row r="984" s="3" customFormat="1" ht="12.75" x14ac:dyDescent="0.25"/>
    <row r="985" s="3" customFormat="1" ht="12.75" x14ac:dyDescent="0.25"/>
    <row r="986" s="3" customFormat="1" ht="12.75" x14ac:dyDescent="0.25"/>
    <row r="987" s="3" customFormat="1" ht="12.75" x14ac:dyDescent="0.25"/>
    <row r="988" s="3" customFormat="1" ht="12.75" x14ac:dyDescent="0.25"/>
    <row r="989" s="3" customFormat="1" ht="12.75" x14ac:dyDescent="0.25"/>
    <row r="990" s="3" customFormat="1" ht="12.75" x14ac:dyDescent="0.25"/>
    <row r="991" s="3" customFormat="1" ht="12.75" x14ac:dyDescent="0.25"/>
    <row r="992" s="3" customFormat="1" ht="12.75" x14ac:dyDescent="0.25"/>
    <row r="993" s="3" customFormat="1" ht="12.75" x14ac:dyDescent="0.25"/>
    <row r="994" s="3" customFormat="1" ht="12.75" x14ac:dyDescent="0.25"/>
    <row r="995" s="3" customFormat="1" ht="12.75" x14ac:dyDescent="0.25"/>
    <row r="996" s="3" customFormat="1" ht="12.75" x14ac:dyDescent="0.25"/>
    <row r="997" s="3" customFormat="1" ht="12.75" x14ac:dyDescent="0.25"/>
    <row r="998" s="3" customFormat="1" ht="12.75" x14ac:dyDescent="0.25"/>
    <row r="999" s="3" customFormat="1" ht="12.75" x14ac:dyDescent="0.25"/>
    <row r="1000" s="3" customFormat="1" ht="12.75" x14ac:dyDescent="0.25"/>
    <row r="1001" s="3" customFormat="1" ht="12.75" x14ac:dyDescent="0.25"/>
    <row r="1002" s="3" customFormat="1" ht="12.75" x14ac:dyDescent="0.25"/>
    <row r="1003" s="3" customFormat="1" ht="12.75" x14ac:dyDescent="0.25"/>
    <row r="1004" s="3" customFormat="1" ht="12.75" x14ac:dyDescent="0.25"/>
    <row r="1005" s="3" customFormat="1" ht="12.75" x14ac:dyDescent="0.25"/>
    <row r="1006" s="3" customFormat="1" ht="12.75" x14ac:dyDescent="0.25"/>
    <row r="1007" s="3" customFormat="1" ht="12.75" x14ac:dyDescent="0.25"/>
    <row r="1008" s="3" customFormat="1" ht="12.75" x14ac:dyDescent="0.25"/>
    <row r="1009" s="3" customFormat="1" ht="12.75" x14ac:dyDescent="0.25"/>
    <row r="1010" s="3" customFormat="1" ht="12.75" x14ac:dyDescent="0.25"/>
    <row r="1011" s="3" customFormat="1" ht="12.75" x14ac:dyDescent="0.25"/>
    <row r="1012" s="3" customFormat="1" ht="12.75" x14ac:dyDescent="0.25"/>
    <row r="1013" s="3" customFormat="1" ht="12.75" x14ac:dyDescent="0.25"/>
    <row r="1014" s="3" customFormat="1" ht="12.75" x14ac:dyDescent="0.25"/>
    <row r="1015" s="3" customFormat="1" ht="12.75" x14ac:dyDescent="0.25"/>
    <row r="1016" s="3" customFormat="1" ht="12.75" x14ac:dyDescent="0.25"/>
    <row r="1017" s="3" customFormat="1" ht="12.75" x14ac:dyDescent="0.25"/>
    <row r="1018" s="3" customFormat="1" ht="12.75" x14ac:dyDescent="0.25"/>
    <row r="1019" s="3" customFormat="1" ht="12.75" x14ac:dyDescent="0.25"/>
    <row r="1020" s="3" customFormat="1" ht="12.75" x14ac:dyDescent="0.25"/>
    <row r="1021" s="3" customFormat="1" ht="12.75" x14ac:dyDescent="0.25"/>
    <row r="1022" s="3" customFormat="1" ht="12.75" x14ac:dyDescent="0.25"/>
    <row r="1023" s="3" customFormat="1" ht="12.75" x14ac:dyDescent="0.25"/>
    <row r="1024" s="3" customFormat="1" ht="12.75" x14ac:dyDescent="0.25"/>
    <row r="1025" s="3" customFormat="1" ht="12.75" x14ac:dyDescent="0.25"/>
    <row r="1026" s="3" customFormat="1" ht="12.75" x14ac:dyDescent="0.25"/>
    <row r="1027" s="3" customFormat="1" ht="12.75" x14ac:dyDescent="0.25"/>
    <row r="1028" s="3" customFormat="1" ht="12.75" x14ac:dyDescent="0.25"/>
    <row r="1029" s="3" customFormat="1" ht="12.75" x14ac:dyDescent="0.25"/>
    <row r="1030" s="3" customFormat="1" ht="12.75" x14ac:dyDescent="0.25"/>
    <row r="1031" s="3" customFormat="1" ht="12.75" x14ac:dyDescent="0.25"/>
    <row r="1032" s="3" customFormat="1" ht="12.75" x14ac:dyDescent="0.25"/>
    <row r="1033" s="3" customFormat="1" ht="12.75" x14ac:dyDescent="0.25"/>
    <row r="1034" s="3" customFormat="1" ht="12.75" x14ac:dyDescent="0.25"/>
    <row r="1035" s="3" customFormat="1" ht="12.75" x14ac:dyDescent="0.25"/>
    <row r="1036" s="3" customFormat="1" ht="12.75" x14ac:dyDescent="0.25"/>
    <row r="1037" s="3" customFormat="1" ht="12.75" x14ac:dyDescent="0.25"/>
    <row r="1038" s="3" customFormat="1" ht="12.75" x14ac:dyDescent="0.25"/>
    <row r="1039" s="3" customFormat="1" ht="12.75" x14ac:dyDescent="0.25"/>
    <row r="1040" s="3" customFormat="1" ht="12.75" x14ac:dyDescent="0.25"/>
    <row r="1041" s="3" customFormat="1" ht="12.75" x14ac:dyDescent="0.25"/>
    <row r="1042" s="3" customFormat="1" ht="12.75" x14ac:dyDescent="0.25"/>
    <row r="1043" s="3" customFormat="1" ht="12.75" x14ac:dyDescent="0.25"/>
    <row r="1044" s="3" customFormat="1" ht="12.75" x14ac:dyDescent="0.25"/>
    <row r="1045" s="3" customFormat="1" ht="12.75" x14ac:dyDescent="0.25"/>
    <row r="1046" s="3" customFormat="1" ht="12.75" x14ac:dyDescent="0.25"/>
    <row r="1047" s="3" customFormat="1" ht="12.75" x14ac:dyDescent="0.25"/>
    <row r="1048" s="3" customFormat="1" ht="12.75" x14ac:dyDescent="0.25"/>
    <row r="1049" s="3" customFormat="1" ht="12.75" x14ac:dyDescent="0.25"/>
    <row r="1050" s="3" customFormat="1" ht="12.75" x14ac:dyDescent="0.25"/>
    <row r="1051" s="3" customFormat="1" ht="12.75" x14ac:dyDescent="0.25"/>
    <row r="1052" s="3" customFormat="1" ht="12.75" x14ac:dyDescent="0.25"/>
    <row r="1053" s="3" customFormat="1" ht="12.75" x14ac:dyDescent="0.25"/>
    <row r="1054" s="3" customFormat="1" ht="12.75" x14ac:dyDescent="0.25"/>
    <row r="1055" s="3" customFormat="1" ht="12.75" x14ac:dyDescent="0.25"/>
    <row r="1056" s="3" customFormat="1" ht="12.75" x14ac:dyDescent="0.25"/>
    <row r="1057" s="3" customFormat="1" ht="12.75" x14ac:dyDescent="0.25"/>
    <row r="1058" s="3" customFormat="1" ht="12.75" x14ac:dyDescent="0.25"/>
    <row r="1059" s="3" customFormat="1" ht="12.75" x14ac:dyDescent="0.25"/>
    <row r="1060" s="3" customFormat="1" ht="12.75" x14ac:dyDescent="0.25"/>
    <row r="1061" s="3" customFormat="1" ht="12.75" x14ac:dyDescent="0.25"/>
    <row r="1062" s="3" customFormat="1" ht="12.75" x14ac:dyDescent="0.25"/>
    <row r="1063" s="3" customFormat="1" ht="12.75" x14ac:dyDescent="0.25"/>
    <row r="1064" s="3" customFormat="1" ht="12.75" x14ac:dyDescent="0.25"/>
    <row r="1065" s="3" customFormat="1" ht="12.75" x14ac:dyDescent="0.25"/>
    <row r="1066" s="3" customFormat="1" ht="12.75" x14ac:dyDescent="0.25"/>
    <row r="1067" s="3" customFormat="1" ht="12.75" x14ac:dyDescent="0.25"/>
    <row r="1068" s="3" customFormat="1" ht="12.75" x14ac:dyDescent="0.25"/>
    <row r="1069" s="3" customFormat="1" ht="12.75" x14ac:dyDescent="0.25"/>
    <row r="1070" s="3" customFormat="1" ht="12.75" x14ac:dyDescent="0.25"/>
    <row r="1071" s="3" customFormat="1" ht="12.75" x14ac:dyDescent="0.25"/>
    <row r="1072" s="3" customFormat="1" ht="12.75" x14ac:dyDescent="0.25"/>
    <row r="1073" s="3" customFormat="1" ht="12.75" x14ac:dyDescent="0.25"/>
    <row r="1074" s="3" customFormat="1" ht="12.75" x14ac:dyDescent="0.25"/>
    <row r="1075" s="3" customFormat="1" ht="12.75" x14ac:dyDescent="0.25"/>
    <row r="1076" s="3" customFormat="1" ht="12.75" x14ac:dyDescent="0.25"/>
    <row r="1077" s="3" customFormat="1" ht="12.75" x14ac:dyDescent="0.25"/>
    <row r="1078" s="3" customFormat="1" ht="12.75" x14ac:dyDescent="0.25"/>
    <row r="1079" s="3" customFormat="1" ht="12.75" x14ac:dyDescent="0.25"/>
    <row r="1080" s="3" customFormat="1" ht="12.75" x14ac:dyDescent="0.25"/>
    <row r="1081" s="3" customFormat="1" ht="12.75" x14ac:dyDescent="0.25"/>
    <row r="1082" s="3" customFormat="1" ht="12.75" x14ac:dyDescent="0.25"/>
    <row r="1083" s="3" customFormat="1" ht="12.75" x14ac:dyDescent="0.25"/>
    <row r="1084" s="3" customFormat="1" ht="12.75" x14ac:dyDescent="0.25"/>
    <row r="1085" s="3" customFormat="1" ht="12.75" x14ac:dyDescent="0.25"/>
    <row r="1086" s="3" customFormat="1" ht="12.75" x14ac:dyDescent="0.25"/>
    <row r="1087" s="3" customFormat="1" ht="12.75" x14ac:dyDescent="0.25"/>
    <row r="1088" s="3" customFormat="1" ht="12.75" x14ac:dyDescent="0.25"/>
    <row r="1089" s="3" customFormat="1" ht="12.75" x14ac:dyDescent="0.25"/>
    <row r="1090" s="3" customFormat="1" ht="12.75" x14ac:dyDescent="0.25"/>
    <row r="1091" s="3" customFormat="1" ht="12.75" x14ac:dyDescent="0.25"/>
    <row r="1092" s="3" customFormat="1" ht="12.75" x14ac:dyDescent="0.25"/>
    <row r="1093" s="3" customFormat="1" ht="12.75" x14ac:dyDescent="0.25"/>
    <row r="1094" s="3" customFormat="1" ht="12.75" x14ac:dyDescent="0.25"/>
    <row r="1095" s="3" customFormat="1" ht="12.75" x14ac:dyDescent="0.25"/>
    <row r="1096" s="3" customFormat="1" ht="12.75" x14ac:dyDescent="0.25"/>
    <row r="1097" s="3" customFormat="1" ht="12.75" x14ac:dyDescent="0.25"/>
    <row r="1098" s="3" customFormat="1" ht="12.75" x14ac:dyDescent="0.25"/>
    <row r="1099" s="3" customFormat="1" ht="12.75" x14ac:dyDescent="0.25"/>
    <row r="1100" s="3" customFormat="1" ht="12.75" x14ac:dyDescent="0.25"/>
    <row r="1101" s="3" customFormat="1" ht="12.75" x14ac:dyDescent="0.25"/>
    <row r="1102" s="3" customFormat="1" ht="12.75" x14ac:dyDescent="0.25"/>
    <row r="1103" s="3" customFormat="1" ht="12.75" x14ac:dyDescent="0.25"/>
    <row r="1104" s="3" customFormat="1" ht="12.75" x14ac:dyDescent="0.25"/>
    <row r="1105" s="3" customFormat="1" ht="12.75" x14ac:dyDescent="0.25"/>
    <row r="1106" s="3" customFormat="1" ht="12.75" x14ac:dyDescent="0.25"/>
    <row r="1107" s="3" customFormat="1" ht="12.75" x14ac:dyDescent="0.25"/>
    <row r="1108" s="3" customFormat="1" ht="12.75" x14ac:dyDescent="0.25"/>
    <row r="1109" s="3" customFormat="1" ht="12.75" x14ac:dyDescent="0.25"/>
    <row r="1110" s="3" customFormat="1" ht="12.75" x14ac:dyDescent="0.25"/>
    <row r="1111" s="3" customFormat="1" ht="12.75" x14ac:dyDescent="0.25"/>
    <row r="1112" s="3" customFormat="1" ht="12.75" x14ac:dyDescent="0.25"/>
    <row r="1113" s="3" customFormat="1" ht="12.75" x14ac:dyDescent="0.25"/>
    <row r="1114" s="3" customFormat="1" ht="12.75" x14ac:dyDescent="0.25"/>
    <row r="1115" s="3" customFormat="1" ht="12.75" x14ac:dyDescent="0.25"/>
    <row r="1116" s="3" customFormat="1" ht="12.75" x14ac:dyDescent="0.25"/>
    <row r="1117" s="3" customFormat="1" ht="12.75" x14ac:dyDescent="0.25"/>
    <row r="1118" s="3" customFormat="1" ht="12.75" x14ac:dyDescent="0.25"/>
    <row r="1119" s="3" customFormat="1" ht="12.75" x14ac:dyDescent="0.25"/>
    <row r="1120" s="3" customFormat="1" ht="12.75" x14ac:dyDescent="0.25"/>
    <row r="1121" s="3" customFormat="1" ht="12.75" x14ac:dyDescent="0.25"/>
    <row r="1122" s="3" customFormat="1" ht="12.75" x14ac:dyDescent="0.25"/>
    <row r="1123" s="3" customFormat="1" ht="12.75" x14ac:dyDescent="0.25"/>
    <row r="1124" s="3" customFormat="1" ht="12.75" x14ac:dyDescent="0.25"/>
    <row r="1125" s="3" customFormat="1" ht="12.75" x14ac:dyDescent="0.25"/>
    <row r="1126" s="3" customFormat="1" ht="12.75" x14ac:dyDescent="0.25"/>
    <row r="1127" s="3" customFormat="1" ht="12.75" x14ac:dyDescent="0.25"/>
    <row r="1128" s="3" customFormat="1" ht="12.75" x14ac:dyDescent="0.25"/>
    <row r="1129" s="3" customFormat="1" ht="12.75" x14ac:dyDescent="0.25"/>
    <row r="1130" s="3" customFormat="1" ht="12.75" x14ac:dyDescent="0.25"/>
    <row r="1131" s="3" customFormat="1" ht="12.75" x14ac:dyDescent="0.25"/>
    <row r="1132" s="3" customFormat="1" ht="12.75" x14ac:dyDescent="0.25"/>
    <row r="1133" s="3" customFormat="1" ht="12.75" x14ac:dyDescent="0.25"/>
    <row r="1134" s="3" customFormat="1" ht="12.75" x14ac:dyDescent="0.25"/>
    <row r="1135" s="3" customFormat="1" ht="12.75" x14ac:dyDescent="0.25"/>
    <row r="1136" s="3" customFormat="1" ht="12.75" x14ac:dyDescent="0.25"/>
    <row r="1137" s="3" customFormat="1" ht="12.75" x14ac:dyDescent="0.25"/>
    <row r="1138" s="3" customFormat="1" ht="12.75" x14ac:dyDescent="0.25"/>
    <row r="1139" s="3" customFormat="1" ht="12.75" x14ac:dyDescent="0.25"/>
    <row r="1140" s="3" customFormat="1" ht="12.75" x14ac:dyDescent="0.25"/>
    <row r="1141" s="3" customFormat="1" ht="12.75" x14ac:dyDescent="0.25"/>
    <row r="1142" s="3" customFormat="1" ht="12.75" x14ac:dyDescent="0.25"/>
    <row r="1143" s="3" customFormat="1" ht="12.75" x14ac:dyDescent="0.25"/>
    <row r="1144" s="3" customFormat="1" ht="12.75" x14ac:dyDescent="0.25"/>
    <row r="1145" s="3" customFormat="1" ht="12.75" x14ac:dyDescent="0.25"/>
    <row r="1146" s="3" customFormat="1" ht="12.75" x14ac:dyDescent="0.25"/>
    <row r="1147" s="3" customFormat="1" ht="12.75" x14ac:dyDescent="0.25"/>
    <row r="1148" s="3" customFormat="1" ht="12.75" x14ac:dyDescent="0.25"/>
    <row r="1149" s="3" customFormat="1" ht="12.75" x14ac:dyDescent="0.25"/>
    <row r="1150" s="3" customFormat="1" ht="12.75" x14ac:dyDescent="0.25"/>
    <row r="1151" s="3" customFormat="1" ht="12.75" x14ac:dyDescent="0.25"/>
    <row r="1152" s="3" customFormat="1" ht="12.75" x14ac:dyDescent="0.25"/>
    <row r="1153" s="3" customFormat="1" ht="12.75" x14ac:dyDescent="0.25"/>
    <row r="1154" s="3" customFormat="1" ht="12.75" x14ac:dyDescent="0.25"/>
    <row r="1155" s="3" customFormat="1" ht="12.75" x14ac:dyDescent="0.25"/>
    <row r="1156" s="3" customFormat="1" ht="12.75" x14ac:dyDescent="0.25"/>
    <row r="1157" s="3" customFormat="1" ht="12.75" x14ac:dyDescent="0.25"/>
    <row r="1158" s="3" customFormat="1" ht="12.75" x14ac:dyDescent="0.25"/>
    <row r="1159" s="3" customFormat="1" ht="12.75" x14ac:dyDescent="0.25"/>
    <row r="1160" s="3" customFormat="1" ht="12.75" x14ac:dyDescent="0.25"/>
    <row r="1161" s="3" customFormat="1" ht="12.75" x14ac:dyDescent="0.25"/>
    <row r="1162" s="3" customFormat="1" ht="12.75" x14ac:dyDescent="0.25"/>
    <row r="1163" s="3" customFormat="1" ht="12.75" x14ac:dyDescent="0.25"/>
    <row r="1164" s="3" customFormat="1" ht="12.75" x14ac:dyDescent="0.25"/>
    <row r="1165" s="3" customFormat="1" ht="12.75" x14ac:dyDescent="0.25"/>
    <row r="1166" s="3" customFormat="1" ht="12.75" x14ac:dyDescent="0.25"/>
    <row r="1167" s="3" customFormat="1" ht="12.75" x14ac:dyDescent="0.25"/>
    <row r="1168" s="3" customFormat="1" ht="12.75" x14ac:dyDescent="0.25"/>
    <row r="1169" s="3" customFormat="1" ht="12.75" x14ac:dyDescent="0.25"/>
    <row r="1170" s="3" customFormat="1" ht="12.75" x14ac:dyDescent="0.25"/>
    <row r="1171" s="3" customFormat="1" ht="12.75" x14ac:dyDescent="0.25"/>
    <row r="1172" s="3" customFormat="1" ht="12.75" x14ac:dyDescent="0.25"/>
    <row r="1173" s="3" customFormat="1" ht="12.75" x14ac:dyDescent="0.25"/>
    <row r="1174" s="3" customFormat="1" ht="12.75" x14ac:dyDescent="0.25"/>
    <row r="1175" s="3" customFormat="1" ht="12.75" x14ac:dyDescent="0.25"/>
    <row r="1176" s="3" customFormat="1" ht="12.75" x14ac:dyDescent="0.25"/>
    <row r="1177" s="3" customFormat="1" ht="12.75" x14ac:dyDescent="0.25"/>
    <row r="1178" s="3" customFormat="1" ht="12.75" x14ac:dyDescent="0.25"/>
    <row r="1179" s="3" customFormat="1" ht="12.75" x14ac:dyDescent="0.25"/>
    <row r="1180" s="3" customFormat="1" ht="12.75" x14ac:dyDescent="0.25"/>
    <row r="1181" s="3" customFormat="1" ht="12.75" x14ac:dyDescent="0.25"/>
    <row r="1182" s="3" customFormat="1" ht="12.75" x14ac:dyDescent="0.25"/>
    <row r="1183" s="3" customFormat="1" ht="12.75" x14ac:dyDescent="0.25"/>
    <row r="1184" s="3" customFormat="1" ht="12.75" x14ac:dyDescent="0.25"/>
    <row r="1185" s="3" customFormat="1" ht="12.75" x14ac:dyDescent="0.25"/>
    <row r="1186" s="3" customFormat="1" ht="12.75" x14ac:dyDescent="0.25"/>
    <row r="1187" s="3" customFormat="1" ht="12.75" x14ac:dyDescent="0.25"/>
    <row r="1188" s="3" customFormat="1" ht="12.75" x14ac:dyDescent="0.25"/>
    <row r="1189" s="3" customFormat="1" ht="12.75" x14ac:dyDescent="0.25"/>
    <row r="1190" s="3" customFormat="1" ht="12.75" x14ac:dyDescent="0.25"/>
    <row r="1191" s="3" customFormat="1" ht="12.75" x14ac:dyDescent="0.25"/>
    <row r="1192" s="3" customFormat="1" ht="12.75" x14ac:dyDescent="0.25"/>
    <row r="1193" s="3" customFormat="1" ht="12.75" x14ac:dyDescent="0.25"/>
    <row r="1194" s="3" customFormat="1" ht="12.75" x14ac:dyDescent="0.25"/>
    <row r="1195" s="3" customFormat="1" ht="12.75" x14ac:dyDescent="0.25"/>
    <row r="1196" s="3" customFormat="1" ht="12.75" x14ac:dyDescent="0.25"/>
    <row r="1197" s="3" customFormat="1" ht="12.75" x14ac:dyDescent="0.25"/>
    <row r="1198" s="3" customFormat="1" ht="12.75" x14ac:dyDescent="0.25"/>
    <row r="1199" s="3" customFormat="1" ht="12.75" x14ac:dyDescent="0.25"/>
    <row r="1200" s="3" customFormat="1" ht="12.75" x14ac:dyDescent="0.25"/>
    <row r="1201" s="3" customFormat="1" ht="12.75" x14ac:dyDescent="0.25"/>
    <row r="1202" s="3" customFormat="1" ht="12.75" x14ac:dyDescent="0.25"/>
    <row r="1203" s="3" customFormat="1" ht="12.75" x14ac:dyDescent="0.25"/>
    <row r="1204" s="3" customFormat="1" ht="12.75" x14ac:dyDescent="0.25"/>
    <row r="1205" s="3" customFormat="1" ht="12.75" x14ac:dyDescent="0.25"/>
    <row r="1206" s="3" customFormat="1" ht="12.75" x14ac:dyDescent="0.25"/>
    <row r="1207" s="3" customFormat="1" ht="12.75" x14ac:dyDescent="0.25"/>
    <row r="1208" s="3" customFormat="1" ht="12.75" x14ac:dyDescent="0.25"/>
    <row r="1209" s="3" customFormat="1" ht="12.75" x14ac:dyDescent="0.25"/>
    <row r="1210" s="3" customFormat="1" ht="12.75" x14ac:dyDescent="0.25"/>
    <row r="1211" s="3" customFormat="1" ht="12.75" x14ac:dyDescent="0.25"/>
    <row r="1212" s="3" customFormat="1" ht="12.75" x14ac:dyDescent="0.25"/>
    <row r="1213" s="3" customFormat="1" ht="12.75" x14ac:dyDescent="0.25"/>
    <row r="1214" s="3" customFormat="1" ht="12.75" x14ac:dyDescent="0.25"/>
    <row r="1215" s="3" customFormat="1" ht="12.75" x14ac:dyDescent="0.25"/>
    <row r="1216" s="3" customFormat="1" ht="12.75" x14ac:dyDescent="0.25"/>
    <row r="1217" s="3" customFormat="1" ht="12.75" x14ac:dyDescent="0.25"/>
    <row r="1218" s="3" customFormat="1" ht="12.75" x14ac:dyDescent="0.25"/>
    <row r="1219" s="3" customFormat="1" ht="12.75" x14ac:dyDescent="0.25"/>
    <row r="1220" s="3" customFormat="1" ht="12.75" x14ac:dyDescent="0.25"/>
    <row r="1221" s="3" customFormat="1" ht="12.75" x14ac:dyDescent="0.25"/>
    <row r="1222" s="3" customFormat="1" ht="12.75" x14ac:dyDescent="0.25"/>
    <row r="1223" s="3" customFormat="1" ht="12.75" x14ac:dyDescent="0.25"/>
    <row r="1224" s="3" customFormat="1" ht="12.75" x14ac:dyDescent="0.25"/>
    <row r="1225" s="3" customFormat="1" ht="12.75" x14ac:dyDescent="0.25"/>
    <row r="1226" s="3" customFormat="1" ht="12.75" x14ac:dyDescent="0.25"/>
    <row r="1227" s="3" customFormat="1" ht="12.75" x14ac:dyDescent="0.25"/>
    <row r="1228" s="3" customFormat="1" ht="12.75" x14ac:dyDescent="0.25"/>
    <row r="1229" s="3" customFormat="1" ht="12.75" x14ac:dyDescent="0.25"/>
    <row r="1230" s="3" customFormat="1" ht="12.75" x14ac:dyDescent="0.25"/>
    <row r="1231" s="3" customFormat="1" ht="12.75" x14ac:dyDescent="0.25"/>
    <row r="1232" s="3" customFormat="1" ht="12.75" x14ac:dyDescent="0.25"/>
    <row r="1233" s="3" customFormat="1" ht="12.75" x14ac:dyDescent="0.25"/>
    <row r="1234" s="3" customFormat="1" ht="12.75" x14ac:dyDescent="0.25"/>
    <row r="1235" s="3" customFormat="1" ht="12.75" x14ac:dyDescent="0.25"/>
    <row r="1236" s="3" customFormat="1" ht="12.75" x14ac:dyDescent="0.25"/>
    <row r="1237" s="3" customFormat="1" ht="12.75" x14ac:dyDescent="0.25"/>
    <row r="1238" s="3" customFormat="1" ht="12.75" x14ac:dyDescent="0.25"/>
    <row r="1239" s="3" customFormat="1" ht="12.75" x14ac:dyDescent="0.25"/>
    <row r="1240" s="3" customFormat="1" ht="12.75" x14ac:dyDescent="0.25"/>
    <row r="1241" s="3" customFormat="1" ht="12.75" x14ac:dyDescent="0.25"/>
    <row r="1242" s="3" customFormat="1" ht="12.75" x14ac:dyDescent="0.25"/>
    <row r="1243" s="3" customFormat="1" ht="12.75" x14ac:dyDescent="0.25"/>
    <row r="1244" s="3" customFormat="1" ht="12.75" x14ac:dyDescent="0.25"/>
    <row r="1245" s="3" customFormat="1" ht="12.75" x14ac:dyDescent="0.25"/>
    <row r="1246" s="3" customFormat="1" ht="12.75" x14ac:dyDescent="0.25"/>
    <row r="1247" s="3" customFormat="1" ht="12.75" x14ac:dyDescent="0.25"/>
    <row r="1248" s="3" customFormat="1" ht="12.75" x14ac:dyDescent="0.25"/>
    <row r="1249" s="3" customFormat="1" ht="12.75" x14ac:dyDescent="0.25"/>
    <row r="1250" s="3" customFormat="1" ht="12.75" x14ac:dyDescent="0.25"/>
    <row r="1251" s="3" customFormat="1" ht="12.75" x14ac:dyDescent="0.25"/>
    <row r="1252" s="3" customFormat="1" ht="12.75" x14ac:dyDescent="0.25"/>
    <row r="1253" s="3" customFormat="1" ht="12.75" x14ac:dyDescent="0.25"/>
    <row r="1254" s="3" customFormat="1" ht="12.75" x14ac:dyDescent="0.25"/>
    <row r="1255" s="3" customFormat="1" ht="12.75" x14ac:dyDescent="0.25"/>
    <row r="1256" s="3" customFormat="1" ht="12.75" x14ac:dyDescent="0.25"/>
    <row r="1257" s="3" customFormat="1" ht="12.75" x14ac:dyDescent="0.25"/>
    <row r="1258" s="3" customFormat="1" ht="12.75" x14ac:dyDescent="0.25"/>
    <row r="1259" s="3" customFormat="1" ht="12.75" x14ac:dyDescent="0.25"/>
    <row r="1260" s="3" customFormat="1" ht="12.75" x14ac:dyDescent="0.25"/>
    <row r="1261" s="3" customFormat="1" ht="12.75" x14ac:dyDescent="0.25"/>
    <row r="1262" s="3" customFormat="1" ht="12.75" x14ac:dyDescent="0.25"/>
    <row r="1263" s="3" customFormat="1" ht="12.75" x14ac:dyDescent="0.25"/>
    <row r="1264" s="3" customFormat="1" ht="12.75" x14ac:dyDescent="0.25"/>
    <row r="1265" s="3" customFormat="1" ht="12.75" x14ac:dyDescent="0.25"/>
    <row r="1266" s="3" customFormat="1" ht="12.75" x14ac:dyDescent="0.25"/>
    <row r="1267" s="3" customFormat="1" ht="12.75" x14ac:dyDescent="0.25"/>
    <row r="1268" s="3" customFormat="1" ht="12.75" x14ac:dyDescent="0.25"/>
    <row r="1269" s="3" customFormat="1" ht="12.75" x14ac:dyDescent="0.25"/>
    <row r="1270" s="3" customFormat="1" ht="12.75" x14ac:dyDescent="0.25"/>
    <row r="1271" s="3" customFormat="1" ht="12.75" x14ac:dyDescent="0.25"/>
    <row r="1272" s="3" customFormat="1" ht="12.75" x14ac:dyDescent="0.25"/>
    <row r="1273" s="3" customFormat="1" ht="12.75" x14ac:dyDescent="0.25"/>
    <row r="1274" s="3" customFormat="1" ht="12.75" x14ac:dyDescent="0.25"/>
    <row r="1275" s="3" customFormat="1" ht="12.75" x14ac:dyDescent="0.25"/>
    <row r="1276" s="3" customFormat="1" ht="12.75" x14ac:dyDescent="0.25"/>
    <row r="1277" s="3" customFormat="1" ht="12.75" x14ac:dyDescent="0.25"/>
    <row r="1278" s="3" customFormat="1" ht="12.75" x14ac:dyDescent="0.25"/>
    <row r="1279" s="3" customFormat="1" ht="12.75" x14ac:dyDescent="0.25"/>
    <row r="1280" s="3" customFormat="1" ht="12.75" x14ac:dyDescent="0.25"/>
    <row r="1281" s="3" customFormat="1" ht="12.75" x14ac:dyDescent="0.25"/>
    <row r="1282" s="3" customFormat="1" ht="12.75" x14ac:dyDescent="0.25"/>
    <row r="1283" s="3" customFormat="1" ht="12.75" x14ac:dyDescent="0.25"/>
    <row r="1284" s="3" customFormat="1" ht="12.75" x14ac:dyDescent="0.25"/>
    <row r="1285" s="3" customFormat="1" ht="12.75" x14ac:dyDescent="0.25"/>
    <row r="1286" s="3" customFormat="1" ht="12.75" x14ac:dyDescent="0.25"/>
    <row r="1287" s="3" customFormat="1" ht="12.75" x14ac:dyDescent="0.25"/>
    <row r="1288" s="3" customFormat="1" ht="12.75" x14ac:dyDescent="0.25"/>
    <row r="1289" s="3" customFormat="1" ht="12.75" x14ac:dyDescent="0.25"/>
    <row r="1290" s="3" customFormat="1" ht="12.75" x14ac:dyDescent="0.25"/>
    <row r="1291" s="3" customFormat="1" ht="12.75" x14ac:dyDescent="0.25"/>
    <row r="1292" s="3" customFormat="1" ht="12.75" x14ac:dyDescent="0.25"/>
    <row r="1293" s="3" customFormat="1" ht="12.75" x14ac:dyDescent="0.25"/>
    <row r="1294" s="3" customFormat="1" ht="12.75" x14ac:dyDescent="0.25"/>
    <row r="1295" s="3" customFormat="1" ht="12.75" x14ac:dyDescent="0.25"/>
    <row r="1296" s="3" customFormat="1" ht="12.75" x14ac:dyDescent="0.25"/>
    <row r="1297" s="3" customFormat="1" ht="12.75" x14ac:dyDescent="0.25"/>
    <row r="1298" s="3" customFormat="1" ht="12.75" x14ac:dyDescent="0.25"/>
    <row r="1299" s="3" customFormat="1" ht="12.75" x14ac:dyDescent="0.25"/>
    <row r="1300" s="3" customFormat="1" ht="12.75" x14ac:dyDescent="0.25"/>
    <row r="1301" s="3" customFormat="1" ht="12.75" x14ac:dyDescent="0.25"/>
    <row r="1302" s="3" customFormat="1" ht="12.75" x14ac:dyDescent="0.25"/>
    <row r="1303" s="3" customFormat="1" ht="12.75" x14ac:dyDescent="0.25"/>
    <row r="1304" s="3" customFormat="1" ht="12.75" x14ac:dyDescent="0.25"/>
    <row r="1305" s="3" customFormat="1" ht="12.75" x14ac:dyDescent="0.25"/>
    <row r="1306" s="3" customFormat="1" ht="12.75" x14ac:dyDescent="0.25"/>
    <row r="1307" s="3" customFormat="1" ht="12.75" x14ac:dyDescent="0.25"/>
    <row r="1308" s="3" customFormat="1" ht="12.75" x14ac:dyDescent="0.25"/>
    <row r="1309" s="3" customFormat="1" ht="12.75" x14ac:dyDescent="0.25"/>
    <row r="1310" s="3" customFormat="1" ht="12.75" x14ac:dyDescent="0.25"/>
    <row r="1311" s="3" customFormat="1" ht="12.75" x14ac:dyDescent="0.25"/>
    <row r="1312" s="3" customFormat="1" ht="12.75" x14ac:dyDescent="0.25"/>
    <row r="1313" s="3" customFormat="1" ht="12.75" x14ac:dyDescent="0.25"/>
    <row r="1314" s="3" customFormat="1" ht="12.75" x14ac:dyDescent="0.25"/>
    <row r="1315" s="3" customFormat="1" ht="12.75" x14ac:dyDescent="0.25"/>
    <row r="1316" s="3" customFormat="1" ht="12.75" x14ac:dyDescent="0.25"/>
    <row r="1317" s="3" customFormat="1" ht="12.75" x14ac:dyDescent="0.25"/>
    <row r="1318" s="3" customFormat="1" ht="12.75" x14ac:dyDescent="0.25"/>
    <row r="1319" s="3" customFormat="1" ht="12.75" x14ac:dyDescent="0.25"/>
    <row r="1320" s="3" customFormat="1" ht="12.75" x14ac:dyDescent="0.25"/>
    <row r="1321" s="3" customFormat="1" ht="12.75" x14ac:dyDescent="0.25"/>
    <row r="1322" s="3" customFormat="1" ht="12.75" x14ac:dyDescent="0.25"/>
    <row r="1323" s="3" customFormat="1" ht="12.75" x14ac:dyDescent="0.25"/>
    <row r="1324" s="3" customFormat="1" ht="12.75" x14ac:dyDescent="0.25"/>
    <row r="1325" s="3" customFormat="1" ht="12.75" x14ac:dyDescent="0.25"/>
    <row r="1326" s="3" customFormat="1" ht="12.75" x14ac:dyDescent="0.25"/>
    <row r="1327" s="3" customFormat="1" ht="12.75" x14ac:dyDescent="0.25"/>
    <row r="1328" s="3" customFormat="1" ht="12.75" x14ac:dyDescent="0.25"/>
    <row r="1329" s="3" customFormat="1" ht="12.75" x14ac:dyDescent="0.25"/>
    <row r="1330" s="3" customFormat="1" ht="12.75" x14ac:dyDescent="0.25"/>
    <row r="1331" s="3" customFormat="1" ht="12.75" x14ac:dyDescent="0.25"/>
    <row r="1332" s="3" customFormat="1" ht="12.75" x14ac:dyDescent="0.25"/>
    <row r="1333" s="3" customFormat="1" ht="12.75" x14ac:dyDescent="0.25"/>
    <row r="1334" s="3" customFormat="1" ht="12.75" x14ac:dyDescent="0.25"/>
    <row r="1335" s="3" customFormat="1" ht="12.75" x14ac:dyDescent="0.25"/>
    <row r="1336" s="3" customFormat="1" ht="12.75" x14ac:dyDescent="0.25"/>
    <row r="1337" s="3" customFormat="1" ht="12.75" x14ac:dyDescent="0.25"/>
    <row r="1338" s="3" customFormat="1" ht="12.75" x14ac:dyDescent="0.25"/>
    <row r="1339" s="3" customFormat="1" ht="12.75" x14ac:dyDescent="0.25"/>
    <row r="1340" s="3" customFormat="1" ht="12.75" x14ac:dyDescent="0.25"/>
    <row r="1341" s="3" customFormat="1" ht="12.75" x14ac:dyDescent="0.25"/>
    <row r="1342" s="3" customFormat="1" ht="12.75" x14ac:dyDescent="0.25"/>
    <row r="1343" s="3" customFormat="1" ht="12.75" x14ac:dyDescent="0.25"/>
    <row r="1344" s="3" customFormat="1" ht="12.75" x14ac:dyDescent="0.25"/>
    <row r="1345" s="3" customFormat="1" ht="12.75" x14ac:dyDescent="0.25"/>
    <row r="1346" s="3" customFormat="1" ht="12.75" x14ac:dyDescent="0.25"/>
    <row r="1347" s="3" customFormat="1" ht="12.75" x14ac:dyDescent="0.25"/>
    <row r="1348" s="3" customFormat="1" ht="12.75" x14ac:dyDescent="0.25"/>
    <row r="1349" s="3" customFormat="1" ht="12.75" x14ac:dyDescent="0.25"/>
    <row r="1350" s="3" customFormat="1" ht="12.75" x14ac:dyDescent="0.25"/>
    <row r="1351" s="3" customFormat="1" ht="12.75" x14ac:dyDescent="0.25"/>
    <row r="1352" s="3" customFormat="1" ht="12.75" x14ac:dyDescent="0.25"/>
    <row r="1353" s="3" customFormat="1" ht="12.75" x14ac:dyDescent="0.25"/>
    <row r="1354" s="3" customFormat="1" ht="12.75" x14ac:dyDescent="0.25"/>
    <row r="1355" s="3" customFormat="1" ht="12.75" x14ac:dyDescent="0.25"/>
    <row r="1356" s="3" customFormat="1" ht="12.75" x14ac:dyDescent="0.25"/>
    <row r="1357" s="3" customFormat="1" ht="12.75" x14ac:dyDescent="0.25"/>
    <row r="1358" s="3" customFormat="1" ht="12.75" x14ac:dyDescent="0.25"/>
    <row r="1359" s="3" customFormat="1" ht="12.75" x14ac:dyDescent="0.25"/>
    <row r="1360" s="3" customFormat="1" ht="12.75" x14ac:dyDescent="0.25"/>
    <row r="1361" s="3" customFormat="1" ht="12.75" x14ac:dyDescent="0.25"/>
    <row r="1362" s="3" customFormat="1" ht="12.75" x14ac:dyDescent="0.25"/>
    <row r="1363" s="3" customFormat="1" ht="12.75" x14ac:dyDescent="0.25"/>
    <row r="1364" s="3" customFormat="1" ht="12.75" x14ac:dyDescent="0.25"/>
    <row r="1365" s="3" customFormat="1" ht="12.75" x14ac:dyDescent="0.25"/>
    <row r="1366" s="3" customFormat="1" ht="12.75" x14ac:dyDescent="0.25"/>
    <row r="1367" s="3" customFormat="1" ht="12.75" x14ac:dyDescent="0.25"/>
    <row r="1368" s="3" customFormat="1" ht="12.75" x14ac:dyDescent="0.25"/>
    <row r="1369" s="3" customFormat="1" ht="12.75" x14ac:dyDescent="0.25"/>
    <row r="1370" s="3" customFormat="1" ht="12.75" x14ac:dyDescent="0.25"/>
    <row r="1371" s="3" customFormat="1" ht="12.75" x14ac:dyDescent="0.25"/>
    <row r="1372" s="3" customFormat="1" ht="12.75" x14ac:dyDescent="0.25"/>
    <row r="1373" s="3" customFormat="1" ht="12.75" x14ac:dyDescent="0.25"/>
    <row r="1374" s="3" customFormat="1" ht="12.75" x14ac:dyDescent="0.25"/>
    <row r="1375" s="3" customFormat="1" ht="12.75" x14ac:dyDescent="0.25"/>
    <row r="1376" s="3" customFormat="1" ht="12.75" x14ac:dyDescent="0.25"/>
    <row r="1377" s="3" customFormat="1" ht="12.75" x14ac:dyDescent="0.25"/>
    <row r="1378" s="3" customFormat="1" ht="12.75" x14ac:dyDescent="0.25"/>
    <row r="1379" s="3" customFormat="1" ht="12.75" x14ac:dyDescent="0.25"/>
    <row r="1380" s="3" customFormat="1" ht="12.75" x14ac:dyDescent="0.25"/>
    <row r="1381" s="3" customFormat="1" ht="12.75" x14ac:dyDescent="0.25"/>
    <row r="1382" s="3" customFormat="1" ht="12.75" x14ac:dyDescent="0.25"/>
    <row r="1383" s="3" customFormat="1" ht="12.75" x14ac:dyDescent="0.25"/>
    <row r="1384" s="3" customFormat="1" ht="12.75" x14ac:dyDescent="0.25"/>
    <row r="1385" s="3" customFormat="1" ht="12.75" x14ac:dyDescent="0.25"/>
    <row r="1386" s="3" customFormat="1" ht="12.75" x14ac:dyDescent="0.25"/>
    <row r="1387" s="3" customFormat="1" ht="12.75" x14ac:dyDescent="0.25"/>
    <row r="1388" s="3" customFormat="1" ht="12.75" x14ac:dyDescent="0.25"/>
    <row r="1389" s="3" customFormat="1" ht="12.75" x14ac:dyDescent="0.25"/>
    <row r="1390" s="3" customFormat="1" ht="12.75" x14ac:dyDescent="0.25"/>
    <row r="1391" s="3" customFormat="1" ht="12.75" x14ac:dyDescent="0.25"/>
    <row r="1392" s="3" customFormat="1" ht="12.75" x14ac:dyDescent="0.25"/>
    <row r="1393" s="3" customFormat="1" ht="12.75" x14ac:dyDescent="0.25"/>
    <row r="1394" s="3" customFormat="1" ht="12.75" x14ac:dyDescent="0.25"/>
    <row r="1395" s="3" customFormat="1" ht="12.75" x14ac:dyDescent="0.25"/>
    <row r="1396" s="3" customFormat="1" ht="12.75" x14ac:dyDescent="0.25"/>
    <row r="1397" s="3" customFormat="1" ht="12.75" x14ac:dyDescent="0.25"/>
    <row r="1398" s="3" customFormat="1" ht="12.75" x14ac:dyDescent="0.25"/>
    <row r="1399" s="3" customFormat="1" ht="12.75" x14ac:dyDescent="0.25"/>
    <row r="1400" s="3" customFormat="1" ht="12.75" x14ac:dyDescent="0.25"/>
    <row r="1401" s="3" customFormat="1" ht="12.75" x14ac:dyDescent="0.25"/>
    <row r="1402" s="3" customFormat="1" ht="12.75" x14ac:dyDescent="0.25"/>
    <row r="1403" s="3" customFormat="1" ht="12.75" x14ac:dyDescent="0.25"/>
    <row r="1404" s="3" customFormat="1" ht="12.75" x14ac:dyDescent="0.25"/>
    <row r="1405" s="3" customFormat="1" ht="12.75" x14ac:dyDescent="0.25"/>
    <row r="1406" s="3" customFormat="1" ht="12.75" x14ac:dyDescent="0.25"/>
    <row r="1407" s="3" customFormat="1" ht="12.75" x14ac:dyDescent="0.25"/>
    <row r="1408" s="3" customFormat="1" ht="12.75" x14ac:dyDescent="0.25"/>
    <row r="1409" s="3" customFormat="1" ht="12.75" x14ac:dyDescent="0.25"/>
    <row r="1410" s="3" customFormat="1" ht="12.75" x14ac:dyDescent="0.25"/>
    <row r="1411" s="3" customFormat="1" ht="12.75" x14ac:dyDescent="0.25"/>
    <row r="1412" s="3" customFormat="1" ht="12.75" x14ac:dyDescent="0.25"/>
    <row r="1413" s="3" customFormat="1" ht="12.75" x14ac:dyDescent="0.25"/>
    <row r="1414" s="3" customFormat="1" ht="12.75" x14ac:dyDescent="0.25"/>
    <row r="1415" s="3" customFormat="1" ht="12.75" x14ac:dyDescent="0.25"/>
    <row r="1416" s="3" customFormat="1" ht="12.75" x14ac:dyDescent="0.25"/>
    <row r="1417" s="3" customFormat="1" ht="12.75" x14ac:dyDescent="0.25"/>
    <row r="1418" s="3" customFormat="1" ht="12.75" x14ac:dyDescent="0.25"/>
    <row r="1419" s="3" customFormat="1" ht="12.75" x14ac:dyDescent="0.25"/>
    <row r="1420" s="3" customFormat="1" ht="12.75" x14ac:dyDescent="0.25"/>
    <row r="1421" s="3" customFormat="1" ht="12.75" x14ac:dyDescent="0.25"/>
    <row r="1422" s="3" customFormat="1" ht="12.75" x14ac:dyDescent="0.25"/>
    <row r="1423" s="3" customFormat="1" ht="12.75" x14ac:dyDescent="0.25"/>
    <row r="1424" s="3" customFormat="1" ht="12.75" x14ac:dyDescent="0.25"/>
    <row r="1425" s="3" customFormat="1" ht="12.75" x14ac:dyDescent="0.25"/>
    <row r="1426" s="3" customFormat="1" ht="12.75" x14ac:dyDescent="0.25"/>
    <row r="1427" s="3" customFormat="1" ht="12.75" x14ac:dyDescent="0.25"/>
    <row r="1428" s="3" customFormat="1" ht="12.75" x14ac:dyDescent="0.25"/>
    <row r="1429" s="3" customFormat="1" ht="12.75" x14ac:dyDescent="0.25"/>
    <row r="1430" s="3" customFormat="1" ht="12.75" x14ac:dyDescent="0.25"/>
    <row r="1431" s="3" customFormat="1" ht="12.75" x14ac:dyDescent="0.25"/>
    <row r="1432" s="3" customFormat="1" ht="12.75" x14ac:dyDescent="0.25"/>
    <row r="1433" s="3" customFormat="1" ht="12.75" x14ac:dyDescent="0.25"/>
    <row r="1434" s="3" customFormat="1" ht="12.75" x14ac:dyDescent="0.25"/>
    <row r="1435" s="3" customFormat="1" ht="12.75" x14ac:dyDescent="0.25"/>
    <row r="1436" s="3" customFormat="1" ht="12.75" x14ac:dyDescent="0.25"/>
    <row r="1437" s="3" customFormat="1" ht="12.75" x14ac:dyDescent="0.25"/>
    <row r="1438" s="3" customFormat="1" ht="12.75" x14ac:dyDescent="0.25"/>
    <row r="1439" s="3" customFormat="1" ht="12.75" x14ac:dyDescent="0.25"/>
    <row r="1440" s="3" customFormat="1" ht="12.75" x14ac:dyDescent="0.25"/>
    <row r="1441" s="3" customFormat="1" ht="12.75" x14ac:dyDescent="0.25"/>
    <row r="1442" s="3" customFormat="1" ht="12.75" x14ac:dyDescent="0.25"/>
    <row r="1443" s="3" customFormat="1" ht="12.75" x14ac:dyDescent="0.25"/>
    <row r="1444" s="3" customFormat="1" ht="12.75" x14ac:dyDescent="0.25"/>
    <row r="1445" s="3" customFormat="1" ht="12.75" x14ac:dyDescent="0.25"/>
    <row r="1446" s="3" customFormat="1" ht="12.75" x14ac:dyDescent="0.25"/>
    <row r="1447" s="3" customFormat="1" ht="12.75" x14ac:dyDescent="0.25"/>
    <row r="1448" s="3" customFormat="1" ht="12.75" x14ac:dyDescent="0.25"/>
    <row r="1449" s="3" customFormat="1" ht="12.75" x14ac:dyDescent="0.25"/>
    <row r="1450" s="3" customFormat="1" ht="12.75" x14ac:dyDescent="0.25"/>
    <row r="1451" s="3" customFormat="1" ht="12.75" x14ac:dyDescent="0.25"/>
    <row r="1452" s="3" customFormat="1" ht="12.75" x14ac:dyDescent="0.25"/>
    <row r="1453" s="3" customFormat="1" ht="12.75" x14ac:dyDescent="0.25"/>
    <row r="1454" s="3" customFormat="1" ht="12.75" x14ac:dyDescent="0.25"/>
    <row r="1455" s="3" customFormat="1" ht="12.75" x14ac:dyDescent="0.25"/>
    <row r="1456" s="3" customFormat="1" ht="12.75" x14ac:dyDescent="0.25"/>
    <row r="1457" s="3" customFormat="1" ht="12.75" x14ac:dyDescent="0.25"/>
    <row r="1458" s="3" customFormat="1" ht="12.75" x14ac:dyDescent="0.25"/>
    <row r="1459" s="3" customFormat="1" ht="12.75" x14ac:dyDescent="0.25"/>
    <row r="1460" s="3" customFormat="1" ht="12.75" x14ac:dyDescent="0.25"/>
    <row r="1461" s="3" customFormat="1" ht="12.75" x14ac:dyDescent="0.25"/>
    <row r="1462" s="3" customFormat="1" ht="12.75" x14ac:dyDescent="0.25"/>
    <row r="1463" s="3" customFormat="1" ht="12.75" x14ac:dyDescent="0.25"/>
    <row r="1464" s="3" customFormat="1" ht="12.75" x14ac:dyDescent="0.25"/>
    <row r="1465" s="3" customFormat="1" ht="12.75" x14ac:dyDescent="0.25"/>
    <row r="1466" s="3" customFormat="1" ht="12.75" x14ac:dyDescent="0.25"/>
    <row r="1467" s="3" customFormat="1" ht="12.75" x14ac:dyDescent="0.25"/>
    <row r="1468" s="3" customFormat="1" ht="12.75" x14ac:dyDescent="0.25"/>
    <row r="1469" s="3" customFormat="1" ht="12.75" x14ac:dyDescent="0.25"/>
    <row r="1470" s="3" customFormat="1" ht="12.75" x14ac:dyDescent="0.25"/>
    <row r="1471" s="3" customFormat="1" ht="12.75" x14ac:dyDescent="0.25"/>
    <row r="1472" s="3" customFormat="1" ht="12.75" x14ac:dyDescent="0.25"/>
    <row r="1473" s="3" customFormat="1" ht="12.75" x14ac:dyDescent="0.25"/>
    <row r="1474" s="3" customFormat="1" ht="12.75" x14ac:dyDescent="0.25"/>
    <row r="1475" s="3" customFormat="1" ht="12.75" x14ac:dyDescent="0.25"/>
    <row r="1476" s="3" customFormat="1" ht="12.75" x14ac:dyDescent="0.25"/>
    <row r="1477" s="3" customFormat="1" ht="12.75" x14ac:dyDescent="0.25"/>
    <row r="1478" s="3" customFormat="1" ht="12.75" x14ac:dyDescent="0.25"/>
    <row r="1479" s="3" customFormat="1" ht="12.75" x14ac:dyDescent="0.25"/>
    <row r="1480" s="3" customFormat="1" ht="12.75" x14ac:dyDescent="0.25"/>
    <row r="1481" s="3" customFormat="1" ht="12.75" x14ac:dyDescent="0.25"/>
    <row r="1482" s="3" customFormat="1" ht="12.75" x14ac:dyDescent="0.25"/>
    <row r="1483" s="3" customFormat="1" ht="12.75" x14ac:dyDescent="0.25"/>
    <row r="1484" s="3" customFormat="1" ht="12.75" x14ac:dyDescent="0.25"/>
    <row r="1485" s="3" customFormat="1" ht="12.75" x14ac:dyDescent="0.25"/>
    <row r="1486" s="3" customFormat="1" ht="12.75" x14ac:dyDescent="0.25"/>
    <row r="1487" s="3" customFormat="1" ht="12.75" x14ac:dyDescent="0.25"/>
    <row r="1488" s="3" customFormat="1" ht="12.75" x14ac:dyDescent="0.25"/>
    <row r="1489" s="3" customFormat="1" ht="12.75" x14ac:dyDescent="0.25"/>
    <row r="1490" s="3" customFormat="1" ht="12.75" x14ac:dyDescent="0.25"/>
    <row r="1491" s="3" customFormat="1" ht="12.75" x14ac:dyDescent="0.25"/>
    <row r="1492" s="3" customFormat="1" ht="12.75" x14ac:dyDescent="0.25"/>
    <row r="1493" s="3" customFormat="1" ht="12.75" x14ac:dyDescent="0.25"/>
    <row r="1494" s="3" customFormat="1" ht="12.75" x14ac:dyDescent="0.25"/>
    <row r="1495" s="3" customFormat="1" ht="12.75" x14ac:dyDescent="0.25"/>
    <row r="1496" s="3" customFormat="1" ht="12.75" x14ac:dyDescent="0.25"/>
    <row r="1497" s="3" customFormat="1" ht="12.75" x14ac:dyDescent="0.25"/>
    <row r="1498" s="3" customFormat="1" ht="12.75" x14ac:dyDescent="0.25"/>
    <row r="1499" s="3" customFormat="1" ht="12.75" x14ac:dyDescent="0.25"/>
    <row r="1500" s="3" customFormat="1" ht="12.75" x14ac:dyDescent="0.25"/>
    <row r="1501" s="3" customFormat="1" ht="12.75" x14ac:dyDescent="0.25"/>
    <row r="1502" s="3" customFormat="1" ht="12.75" x14ac:dyDescent="0.25"/>
    <row r="1503" s="3" customFormat="1" ht="12.75" x14ac:dyDescent="0.25"/>
    <row r="1504" s="3" customFormat="1" ht="12.75" x14ac:dyDescent="0.25"/>
    <row r="1505" s="3" customFormat="1" ht="12.75" x14ac:dyDescent="0.25"/>
    <row r="1506" s="3" customFormat="1" ht="12.75" x14ac:dyDescent="0.25"/>
    <row r="1507" s="3" customFormat="1" ht="12.75" x14ac:dyDescent="0.25"/>
    <row r="1508" s="3" customFormat="1" ht="12.75" x14ac:dyDescent="0.25"/>
    <row r="1509" s="3" customFormat="1" ht="12.75" x14ac:dyDescent="0.25"/>
    <row r="1510" s="3" customFormat="1" ht="12.75" x14ac:dyDescent="0.25"/>
    <row r="1511" s="3" customFormat="1" ht="12.75" x14ac:dyDescent="0.25"/>
    <row r="1512" s="3" customFormat="1" ht="12.75" x14ac:dyDescent="0.25"/>
    <row r="1513" s="3" customFormat="1" ht="12.75" x14ac:dyDescent="0.25"/>
    <row r="1514" s="3" customFormat="1" ht="12.75" x14ac:dyDescent="0.25"/>
    <row r="1515" s="3" customFormat="1" ht="12.75" x14ac:dyDescent="0.25"/>
    <row r="1516" s="3" customFormat="1" ht="12.75" x14ac:dyDescent="0.25"/>
    <row r="1517" s="3" customFormat="1" ht="12.75" x14ac:dyDescent="0.25"/>
    <row r="1518" s="3" customFormat="1" ht="12.75" x14ac:dyDescent="0.25"/>
    <row r="1519" s="3" customFormat="1" ht="12.75" x14ac:dyDescent="0.25"/>
    <row r="1520" s="3" customFormat="1" ht="12.75" x14ac:dyDescent="0.25"/>
    <row r="1521" s="3" customFormat="1" ht="12.75" x14ac:dyDescent="0.25"/>
    <row r="1522" s="3" customFormat="1" ht="12.75" x14ac:dyDescent="0.25"/>
    <row r="1523" s="3" customFormat="1" ht="12.75" x14ac:dyDescent="0.25"/>
    <row r="1524" s="3" customFormat="1" ht="12.75" x14ac:dyDescent="0.25"/>
    <row r="1525" s="3" customFormat="1" ht="12.75" x14ac:dyDescent="0.25"/>
    <row r="1526" s="3" customFormat="1" ht="12.75" x14ac:dyDescent="0.25"/>
    <row r="1527" s="3" customFormat="1" ht="12.75" x14ac:dyDescent="0.25"/>
    <row r="1528" s="3" customFormat="1" ht="12.75" x14ac:dyDescent="0.25"/>
    <row r="1529" s="3" customFormat="1" ht="12.75" x14ac:dyDescent="0.25"/>
    <row r="1530" s="3" customFormat="1" ht="12.75" x14ac:dyDescent="0.25"/>
    <row r="1531" s="3" customFormat="1" ht="12.75" x14ac:dyDescent="0.25"/>
    <row r="1532" s="3" customFormat="1" ht="12.75" x14ac:dyDescent="0.25"/>
    <row r="1533" s="3" customFormat="1" ht="12.75" x14ac:dyDescent="0.25"/>
    <row r="1534" s="3" customFormat="1" ht="12.75" x14ac:dyDescent="0.25"/>
    <row r="1535" s="3" customFormat="1" ht="12.75" x14ac:dyDescent="0.25"/>
    <row r="1536" s="3" customFormat="1" ht="12.75" x14ac:dyDescent="0.25"/>
    <row r="1537" s="3" customFormat="1" ht="12.75" x14ac:dyDescent="0.25"/>
    <row r="1538" s="3" customFormat="1" ht="12.75" x14ac:dyDescent="0.25"/>
    <row r="1539" s="3" customFormat="1" ht="12.75" x14ac:dyDescent="0.25"/>
    <row r="1540" s="3" customFormat="1" ht="12.75" x14ac:dyDescent="0.25"/>
    <row r="1541" s="3" customFormat="1" ht="12.75" x14ac:dyDescent="0.25"/>
    <row r="1542" s="3" customFormat="1" ht="12.75" x14ac:dyDescent="0.25"/>
    <row r="1543" s="3" customFormat="1" ht="12.75" x14ac:dyDescent="0.25"/>
    <row r="1544" s="3" customFormat="1" ht="12.75" x14ac:dyDescent="0.25"/>
    <row r="1545" s="3" customFormat="1" ht="12.75" x14ac:dyDescent="0.25"/>
    <row r="1546" s="3" customFormat="1" ht="12.75" x14ac:dyDescent="0.25"/>
    <row r="1547" s="3" customFormat="1" ht="12.75" x14ac:dyDescent="0.25"/>
    <row r="1548" s="3" customFormat="1" ht="12.75" x14ac:dyDescent="0.25"/>
    <row r="1549" s="3" customFormat="1" ht="12.75" x14ac:dyDescent="0.25"/>
    <row r="1550" s="3" customFormat="1" ht="12.75" x14ac:dyDescent="0.25"/>
    <row r="1551" s="3" customFormat="1" ht="12.75" x14ac:dyDescent="0.25"/>
    <row r="1552" s="3" customFormat="1" ht="12.75" x14ac:dyDescent="0.25"/>
    <row r="1553" s="3" customFormat="1" ht="12.75" x14ac:dyDescent="0.25"/>
    <row r="1554" s="3" customFormat="1" ht="12.75" x14ac:dyDescent="0.25"/>
    <row r="1555" s="3" customFormat="1" ht="12.75" x14ac:dyDescent="0.25"/>
    <row r="1556" s="3" customFormat="1" ht="12.75" x14ac:dyDescent="0.25"/>
    <row r="1557" s="3" customFormat="1" ht="12.75" x14ac:dyDescent="0.25"/>
    <row r="1558" s="3" customFormat="1" ht="12.75" x14ac:dyDescent="0.25"/>
    <row r="1559" s="3" customFormat="1" ht="12.75" x14ac:dyDescent="0.25"/>
    <row r="1560" s="3" customFormat="1" ht="12.75" x14ac:dyDescent="0.25"/>
    <row r="1561" s="3" customFormat="1" ht="12.75" x14ac:dyDescent="0.25"/>
    <row r="1562" s="3" customFormat="1" ht="12.75" x14ac:dyDescent="0.25"/>
    <row r="1563" s="3" customFormat="1" ht="12.75" x14ac:dyDescent="0.25"/>
    <row r="1564" s="3" customFormat="1" ht="12.75" x14ac:dyDescent="0.25"/>
    <row r="1565" s="3" customFormat="1" ht="12.75" x14ac:dyDescent="0.25"/>
    <row r="1566" s="3" customFormat="1" ht="12.75" x14ac:dyDescent="0.25"/>
    <row r="1567" s="3" customFormat="1" ht="12.75" x14ac:dyDescent="0.25"/>
    <row r="1568" s="3" customFormat="1" ht="12.75" x14ac:dyDescent="0.25"/>
    <row r="1569" s="3" customFormat="1" ht="12.75" x14ac:dyDescent="0.25"/>
    <row r="1570" s="3" customFormat="1" ht="12.75" x14ac:dyDescent="0.25"/>
    <row r="1571" s="3" customFormat="1" ht="12.75" x14ac:dyDescent="0.25"/>
    <row r="1572" s="3" customFormat="1" ht="12.75" x14ac:dyDescent="0.25"/>
    <row r="1573" s="3" customFormat="1" ht="12.75" x14ac:dyDescent="0.25"/>
    <row r="1574" s="3" customFormat="1" ht="12.75" x14ac:dyDescent="0.25"/>
    <row r="1575" s="3" customFormat="1" ht="12.75" x14ac:dyDescent="0.25"/>
    <row r="1576" s="3" customFormat="1" ht="12.75" x14ac:dyDescent="0.25"/>
    <row r="1577" s="3" customFormat="1" ht="12.75" x14ac:dyDescent="0.25"/>
    <row r="1578" s="3" customFormat="1" ht="12.75" x14ac:dyDescent="0.25"/>
    <row r="1579" s="3" customFormat="1" ht="12.75" x14ac:dyDescent="0.25"/>
    <row r="1580" s="3" customFormat="1" ht="12.75" x14ac:dyDescent="0.25"/>
    <row r="1581" s="3" customFormat="1" ht="12.75" x14ac:dyDescent="0.25"/>
    <row r="1582" s="3" customFormat="1" ht="12.75" x14ac:dyDescent="0.25"/>
    <row r="1583" s="3" customFormat="1" ht="12.75" x14ac:dyDescent="0.25"/>
    <row r="1584" s="3" customFormat="1" ht="12.75" x14ac:dyDescent="0.25"/>
    <row r="1585" s="3" customFormat="1" ht="12.75" x14ac:dyDescent="0.25"/>
    <row r="1586" s="3" customFormat="1" ht="12.75" x14ac:dyDescent="0.25"/>
    <row r="1587" s="3" customFormat="1" ht="12.75" x14ac:dyDescent="0.25"/>
    <row r="1588" s="3" customFormat="1" ht="12.75" x14ac:dyDescent="0.25"/>
    <row r="1589" s="3" customFormat="1" ht="12.75" x14ac:dyDescent="0.25"/>
    <row r="1590" s="3" customFormat="1" ht="12.75" x14ac:dyDescent="0.25"/>
    <row r="1591" s="3" customFormat="1" ht="12.75" x14ac:dyDescent="0.25"/>
    <row r="1592" s="3" customFormat="1" ht="12.75" x14ac:dyDescent="0.25"/>
    <row r="1593" s="3" customFormat="1" ht="12.75" x14ac:dyDescent="0.25"/>
    <row r="1594" s="3" customFormat="1" ht="12.75" x14ac:dyDescent="0.25"/>
    <row r="1595" s="3" customFormat="1" ht="12.75" x14ac:dyDescent="0.25"/>
    <row r="1596" s="3" customFormat="1" ht="12.75" x14ac:dyDescent="0.25"/>
    <row r="1597" s="3" customFormat="1" ht="12.75" x14ac:dyDescent="0.25"/>
    <row r="1598" s="3" customFormat="1" ht="12.75" x14ac:dyDescent="0.25"/>
    <row r="1599" s="3" customFormat="1" ht="12.75" x14ac:dyDescent="0.25"/>
    <row r="1600" s="3" customFormat="1" ht="12.75" x14ac:dyDescent="0.25"/>
    <row r="1601" s="3" customFormat="1" ht="12.75" x14ac:dyDescent="0.25"/>
    <row r="1602" s="3" customFormat="1" ht="12.75" x14ac:dyDescent="0.25"/>
    <row r="1603" s="3" customFormat="1" ht="12.75" x14ac:dyDescent="0.25"/>
    <row r="1604" s="3" customFormat="1" ht="12.75" x14ac:dyDescent="0.25"/>
    <row r="1605" s="3" customFormat="1" ht="12.75" x14ac:dyDescent="0.25"/>
    <row r="1606" s="3" customFormat="1" ht="12.75" x14ac:dyDescent="0.25"/>
    <row r="1607" s="3" customFormat="1" ht="12.75" x14ac:dyDescent="0.25"/>
    <row r="1608" s="3" customFormat="1" ht="12.75" x14ac:dyDescent="0.25"/>
    <row r="1609" s="3" customFormat="1" ht="12.75" x14ac:dyDescent="0.25"/>
    <row r="1610" s="3" customFormat="1" ht="12.75" x14ac:dyDescent="0.25"/>
    <row r="1611" s="3" customFormat="1" ht="12.75" x14ac:dyDescent="0.25"/>
    <row r="1612" s="3" customFormat="1" ht="12.75" x14ac:dyDescent="0.25"/>
    <row r="1613" s="3" customFormat="1" ht="12.75" x14ac:dyDescent="0.25"/>
    <row r="1614" s="3" customFormat="1" ht="12.75" x14ac:dyDescent="0.25"/>
    <row r="1615" s="3" customFormat="1" ht="12.75" x14ac:dyDescent="0.25"/>
    <row r="1616" s="3" customFormat="1" ht="12.75" x14ac:dyDescent="0.25"/>
    <row r="1617" s="3" customFormat="1" ht="12.75" x14ac:dyDescent="0.25"/>
    <row r="1618" s="3" customFormat="1" ht="12.75" x14ac:dyDescent="0.25"/>
    <row r="1619" s="3" customFormat="1" ht="12.75" x14ac:dyDescent="0.25"/>
    <row r="1620" s="3" customFormat="1" ht="12.75" x14ac:dyDescent="0.25"/>
    <row r="1621" s="3" customFormat="1" ht="12.75" x14ac:dyDescent="0.25"/>
    <row r="1622" s="3" customFormat="1" ht="12.75" x14ac:dyDescent="0.25"/>
    <row r="1623" s="3" customFormat="1" ht="12.75" x14ac:dyDescent="0.25"/>
    <row r="1624" s="3" customFormat="1" ht="12.75" x14ac:dyDescent="0.25"/>
    <row r="1625" s="3" customFormat="1" ht="12.75" x14ac:dyDescent="0.25"/>
    <row r="1626" s="3" customFormat="1" ht="12.75" x14ac:dyDescent="0.25"/>
    <row r="1627" s="3" customFormat="1" ht="12.75" x14ac:dyDescent="0.25"/>
    <row r="1628" s="3" customFormat="1" ht="12.75" x14ac:dyDescent="0.25"/>
    <row r="1629" s="3" customFormat="1" ht="12.75" x14ac:dyDescent="0.25"/>
    <row r="1630" s="3" customFormat="1" ht="12.75" x14ac:dyDescent="0.25"/>
    <row r="1631" s="3" customFormat="1" ht="12.75" x14ac:dyDescent="0.25"/>
    <row r="1632" s="3" customFormat="1" ht="12.75" x14ac:dyDescent="0.25"/>
    <row r="1633" s="3" customFormat="1" ht="12.75" x14ac:dyDescent="0.25"/>
    <row r="1634" s="3" customFormat="1" ht="12.75" x14ac:dyDescent="0.25"/>
    <row r="1635" s="3" customFormat="1" ht="12.75" x14ac:dyDescent="0.25"/>
    <row r="1636" s="3" customFormat="1" ht="12.75" x14ac:dyDescent="0.25"/>
    <row r="1637" s="3" customFormat="1" ht="12.75" x14ac:dyDescent="0.25"/>
    <row r="1638" s="3" customFormat="1" ht="12.75" x14ac:dyDescent="0.25"/>
    <row r="1639" s="3" customFormat="1" ht="12.75" x14ac:dyDescent="0.25"/>
    <row r="1640" s="3" customFormat="1" ht="12.75" x14ac:dyDescent="0.25"/>
    <row r="1641" s="3" customFormat="1" ht="12.75" x14ac:dyDescent="0.25"/>
    <row r="1642" s="3" customFormat="1" ht="12.75" x14ac:dyDescent="0.25"/>
    <row r="1643" s="3" customFormat="1" ht="12.75" x14ac:dyDescent="0.25"/>
    <row r="1644" s="3" customFormat="1" ht="12.75" x14ac:dyDescent="0.25"/>
    <row r="1645" s="3" customFormat="1" ht="12.75" x14ac:dyDescent="0.25"/>
    <row r="1646" s="3" customFormat="1" ht="12.75" x14ac:dyDescent="0.25"/>
    <row r="1647" s="3" customFormat="1" ht="12.75" x14ac:dyDescent="0.25"/>
    <row r="1648" s="3" customFormat="1" ht="12.75" x14ac:dyDescent="0.25"/>
    <row r="1649" s="3" customFormat="1" ht="12.75" x14ac:dyDescent="0.25"/>
    <row r="1650" s="3" customFormat="1" ht="12.75" x14ac:dyDescent="0.25"/>
    <row r="1651" s="3" customFormat="1" ht="12.75" x14ac:dyDescent="0.25"/>
    <row r="1652" s="3" customFormat="1" ht="12.75" x14ac:dyDescent="0.25"/>
    <row r="1653" s="3" customFormat="1" ht="12.75" x14ac:dyDescent="0.25"/>
    <row r="1654" s="3" customFormat="1" ht="12.75" x14ac:dyDescent="0.25"/>
    <row r="1655" s="3" customFormat="1" ht="12.75" x14ac:dyDescent="0.25"/>
    <row r="1656" s="3" customFormat="1" ht="12.75" x14ac:dyDescent="0.25"/>
    <row r="1657" s="3" customFormat="1" ht="12.75" x14ac:dyDescent="0.25"/>
    <row r="1658" s="3" customFormat="1" ht="12.75" x14ac:dyDescent="0.25"/>
    <row r="1659" s="3" customFormat="1" ht="12.75" x14ac:dyDescent="0.25"/>
    <row r="1660" s="3" customFormat="1" ht="12.75" x14ac:dyDescent="0.25"/>
    <row r="1661" s="3" customFormat="1" ht="12.75" x14ac:dyDescent="0.25"/>
    <row r="1662" s="3" customFormat="1" ht="12.75" x14ac:dyDescent="0.25"/>
    <row r="1663" s="3" customFormat="1" ht="12.75" x14ac:dyDescent="0.25"/>
    <row r="1664" s="3" customFormat="1" ht="12.75" x14ac:dyDescent="0.25"/>
    <row r="1665" s="3" customFormat="1" ht="12.75" x14ac:dyDescent="0.25"/>
    <row r="1666" s="3" customFormat="1" ht="12.75" x14ac:dyDescent="0.25"/>
    <row r="1667" s="3" customFormat="1" ht="12.75" x14ac:dyDescent="0.25"/>
    <row r="1668" s="3" customFormat="1" ht="12.75" x14ac:dyDescent="0.25"/>
    <row r="1669" s="3" customFormat="1" ht="12.75" x14ac:dyDescent="0.25"/>
    <row r="1670" s="3" customFormat="1" ht="12.75" x14ac:dyDescent="0.25"/>
    <row r="1671" s="3" customFormat="1" ht="12.75" x14ac:dyDescent="0.25"/>
    <row r="1672" s="3" customFormat="1" ht="12.75" x14ac:dyDescent="0.25"/>
    <row r="1673" s="3" customFormat="1" ht="12.75" x14ac:dyDescent="0.25"/>
    <row r="1674" s="3" customFormat="1" ht="12.75" x14ac:dyDescent="0.25"/>
    <row r="1675" s="3" customFormat="1" ht="12.75" x14ac:dyDescent="0.25"/>
    <row r="1676" s="3" customFormat="1" ht="12.75" x14ac:dyDescent="0.25"/>
    <row r="1677" s="3" customFormat="1" ht="12.75" x14ac:dyDescent="0.25"/>
    <row r="1678" s="3" customFormat="1" ht="12.75" x14ac:dyDescent="0.25"/>
    <row r="1679" s="3" customFormat="1" ht="12.75" x14ac:dyDescent="0.25"/>
    <row r="1680" s="3" customFormat="1" ht="12.75" x14ac:dyDescent="0.25"/>
    <row r="1681" s="3" customFormat="1" ht="12.75" x14ac:dyDescent="0.25"/>
    <row r="1682" s="3" customFormat="1" ht="12.75" x14ac:dyDescent="0.25"/>
    <row r="1683" s="3" customFormat="1" ht="12.75" x14ac:dyDescent="0.25"/>
    <row r="1684" s="3" customFormat="1" ht="12.75" x14ac:dyDescent="0.25"/>
    <row r="1685" s="3" customFormat="1" ht="12.75" x14ac:dyDescent="0.25"/>
    <row r="1686" s="3" customFormat="1" ht="12.75" x14ac:dyDescent="0.25"/>
    <row r="1687" s="3" customFormat="1" ht="12.75" x14ac:dyDescent="0.25"/>
    <row r="1688" s="3" customFormat="1" ht="12.75" x14ac:dyDescent="0.25"/>
    <row r="1689" s="3" customFormat="1" ht="12.75" x14ac:dyDescent="0.25"/>
    <row r="1690" s="3" customFormat="1" ht="12.75" x14ac:dyDescent="0.25"/>
    <row r="1691" s="3" customFormat="1" ht="12.75" x14ac:dyDescent="0.25"/>
    <row r="1692" s="3" customFormat="1" ht="12.75" x14ac:dyDescent="0.25"/>
    <row r="1693" s="3" customFormat="1" ht="12.75" x14ac:dyDescent="0.25"/>
    <row r="1694" s="3" customFormat="1" ht="12.75" x14ac:dyDescent="0.25"/>
    <row r="1695" s="3" customFormat="1" ht="12.75" x14ac:dyDescent="0.25"/>
    <row r="1696" s="3" customFormat="1" ht="12.75" x14ac:dyDescent="0.25"/>
    <row r="1697" s="3" customFormat="1" ht="12.75" x14ac:dyDescent="0.25"/>
    <row r="1698" s="3" customFormat="1" ht="12.75" x14ac:dyDescent="0.25"/>
    <row r="1699" s="3" customFormat="1" ht="12.75" x14ac:dyDescent="0.25"/>
    <row r="1700" s="3" customFormat="1" ht="12.75" x14ac:dyDescent="0.25"/>
    <row r="1701" s="3" customFormat="1" ht="12.75" x14ac:dyDescent="0.25"/>
    <row r="1702" s="3" customFormat="1" ht="12.75" x14ac:dyDescent="0.25"/>
    <row r="1703" s="3" customFormat="1" ht="12.75" x14ac:dyDescent="0.25"/>
    <row r="1704" s="3" customFormat="1" ht="12.75" x14ac:dyDescent="0.25"/>
    <row r="1705" s="3" customFormat="1" ht="12.75" x14ac:dyDescent="0.25"/>
    <row r="1706" s="3" customFormat="1" ht="12.75" x14ac:dyDescent="0.25"/>
    <row r="1707" s="3" customFormat="1" ht="12.75" x14ac:dyDescent="0.25"/>
    <row r="1708" s="3" customFormat="1" ht="12.75" x14ac:dyDescent="0.25"/>
    <row r="1709" s="3" customFormat="1" ht="12.75" x14ac:dyDescent="0.25"/>
    <row r="1710" s="3" customFormat="1" ht="12.75" x14ac:dyDescent="0.25"/>
    <row r="1711" s="3" customFormat="1" ht="12.75" x14ac:dyDescent="0.25"/>
    <row r="1712" s="3" customFormat="1" ht="12.75" x14ac:dyDescent="0.25"/>
    <row r="1713" s="3" customFormat="1" ht="12.75" x14ac:dyDescent="0.25"/>
    <row r="1714" s="3" customFormat="1" ht="12.75" x14ac:dyDescent="0.25"/>
    <row r="1715" s="3" customFormat="1" ht="12.75" x14ac:dyDescent="0.25"/>
    <row r="1716" s="3" customFormat="1" ht="12.75" x14ac:dyDescent="0.25"/>
    <row r="1717" s="3" customFormat="1" ht="12.75" x14ac:dyDescent="0.25"/>
    <row r="1718" s="3" customFormat="1" ht="12.75" x14ac:dyDescent="0.25"/>
    <row r="1719" s="3" customFormat="1" ht="12.75" x14ac:dyDescent="0.25"/>
    <row r="1720" s="3" customFormat="1" ht="12.75" x14ac:dyDescent="0.25"/>
    <row r="1721" s="3" customFormat="1" ht="12.75" x14ac:dyDescent="0.25"/>
    <row r="1722" s="3" customFormat="1" ht="12.75" x14ac:dyDescent="0.25"/>
    <row r="1723" s="3" customFormat="1" ht="12.75" x14ac:dyDescent="0.25"/>
    <row r="1724" s="3" customFormat="1" ht="12.75" x14ac:dyDescent="0.25"/>
    <row r="1725" s="3" customFormat="1" ht="12.75" x14ac:dyDescent="0.25"/>
    <row r="1726" s="3" customFormat="1" ht="12.75" x14ac:dyDescent="0.25"/>
    <row r="1727" s="3" customFormat="1" ht="12.75" x14ac:dyDescent="0.25"/>
    <row r="1728" s="3" customFormat="1" ht="12.75" x14ac:dyDescent="0.25"/>
    <row r="1729" s="3" customFormat="1" ht="12.75" x14ac:dyDescent="0.25"/>
    <row r="1730" s="3" customFormat="1" ht="12.75" x14ac:dyDescent="0.25"/>
    <row r="1731" s="3" customFormat="1" ht="12.75" x14ac:dyDescent="0.25"/>
    <row r="1732" s="3" customFormat="1" ht="12.75" x14ac:dyDescent="0.25"/>
    <row r="1733" s="3" customFormat="1" ht="12.75" x14ac:dyDescent="0.25"/>
    <row r="1734" s="3" customFormat="1" ht="12.75" x14ac:dyDescent="0.25"/>
    <row r="1735" s="3" customFormat="1" ht="12.75" x14ac:dyDescent="0.25"/>
    <row r="1736" s="3" customFormat="1" ht="12.75" x14ac:dyDescent="0.25"/>
    <row r="1737" s="3" customFormat="1" ht="12.75" x14ac:dyDescent="0.25"/>
    <row r="1738" s="3" customFormat="1" ht="12.75" x14ac:dyDescent="0.25"/>
    <row r="1739" s="3" customFormat="1" ht="12.75" x14ac:dyDescent="0.25"/>
    <row r="1740" s="3" customFormat="1" ht="12.75" x14ac:dyDescent="0.25"/>
    <row r="1741" s="3" customFormat="1" ht="12.75" x14ac:dyDescent="0.25"/>
    <row r="1742" s="3" customFormat="1" ht="12.75" x14ac:dyDescent="0.25"/>
    <row r="1743" s="3" customFormat="1" ht="12.75" x14ac:dyDescent="0.25"/>
    <row r="1744" s="3" customFormat="1" ht="12.75" x14ac:dyDescent="0.25"/>
    <row r="1745" s="3" customFormat="1" ht="12.75" x14ac:dyDescent="0.25"/>
    <row r="1746" s="3" customFormat="1" ht="12.75" x14ac:dyDescent="0.25"/>
    <row r="1747" s="3" customFormat="1" ht="12.75" x14ac:dyDescent="0.25"/>
    <row r="1748" s="3" customFormat="1" ht="12.75" x14ac:dyDescent="0.25"/>
    <row r="1749" s="3" customFormat="1" ht="12.75" x14ac:dyDescent="0.25"/>
    <row r="1750" s="3" customFormat="1" ht="12.75" x14ac:dyDescent="0.25"/>
    <row r="1751" s="3" customFormat="1" ht="12.75" x14ac:dyDescent="0.25"/>
    <row r="1752" s="3" customFormat="1" ht="12.75" x14ac:dyDescent="0.25"/>
    <row r="1753" s="3" customFormat="1" ht="12.75" x14ac:dyDescent="0.25"/>
    <row r="1754" s="3" customFormat="1" ht="12.75" x14ac:dyDescent="0.25"/>
    <row r="1755" s="3" customFormat="1" ht="12.75" x14ac:dyDescent="0.25"/>
    <row r="1756" s="3" customFormat="1" ht="12.75" x14ac:dyDescent="0.25"/>
    <row r="1757" s="3" customFormat="1" ht="12.75" x14ac:dyDescent="0.25"/>
    <row r="1758" s="3" customFormat="1" ht="12.75" x14ac:dyDescent="0.25"/>
    <row r="1759" s="3" customFormat="1" ht="12.75" x14ac:dyDescent="0.25"/>
    <row r="1760" s="3" customFormat="1" ht="12.75" x14ac:dyDescent="0.25"/>
    <row r="1761" s="3" customFormat="1" ht="12.75" x14ac:dyDescent="0.25"/>
    <row r="1762" s="3" customFormat="1" ht="12.75" x14ac:dyDescent="0.25"/>
    <row r="1763" s="3" customFormat="1" ht="12.75" x14ac:dyDescent="0.25"/>
    <row r="1764" s="3" customFormat="1" ht="12.75" x14ac:dyDescent="0.25"/>
    <row r="1765" s="3" customFormat="1" ht="12.75" x14ac:dyDescent="0.25"/>
    <row r="1766" s="3" customFormat="1" ht="12.75" x14ac:dyDescent="0.25"/>
    <row r="1767" s="3" customFormat="1" ht="12.75" x14ac:dyDescent="0.25"/>
    <row r="1768" s="3" customFormat="1" ht="12.75" x14ac:dyDescent="0.25"/>
    <row r="1769" s="3" customFormat="1" ht="12.75" x14ac:dyDescent="0.25"/>
    <row r="1770" s="3" customFormat="1" ht="12.75" x14ac:dyDescent="0.25"/>
    <row r="1771" s="3" customFormat="1" ht="12.75" x14ac:dyDescent="0.25"/>
    <row r="1772" s="3" customFormat="1" ht="12.75" x14ac:dyDescent="0.25"/>
    <row r="1773" s="3" customFormat="1" ht="12.75" x14ac:dyDescent="0.25"/>
    <row r="1774" s="3" customFormat="1" ht="12.75" x14ac:dyDescent="0.25"/>
    <row r="1775" s="3" customFormat="1" ht="12.75" x14ac:dyDescent="0.25"/>
    <row r="1776" s="3" customFormat="1" ht="12.75" x14ac:dyDescent="0.25"/>
    <row r="1777" s="3" customFormat="1" ht="12.75" x14ac:dyDescent="0.25"/>
    <row r="1778" s="3" customFormat="1" ht="12.75" x14ac:dyDescent="0.25"/>
    <row r="1779" s="3" customFormat="1" ht="12.75" x14ac:dyDescent="0.25"/>
    <row r="1780" s="3" customFormat="1" ht="12.75" x14ac:dyDescent="0.25"/>
    <row r="1781" s="3" customFormat="1" ht="12.75" x14ac:dyDescent="0.25"/>
    <row r="1782" s="3" customFormat="1" ht="12.75" x14ac:dyDescent="0.25"/>
    <row r="1783" s="3" customFormat="1" ht="12.75" x14ac:dyDescent="0.25"/>
    <row r="1784" s="3" customFormat="1" ht="12.75" x14ac:dyDescent="0.25"/>
    <row r="1785" s="3" customFormat="1" ht="12.75" x14ac:dyDescent="0.25"/>
    <row r="1786" s="3" customFormat="1" ht="12.75" x14ac:dyDescent="0.25"/>
    <row r="1787" s="3" customFormat="1" ht="12.75" x14ac:dyDescent="0.25"/>
    <row r="1788" s="3" customFormat="1" ht="12.75" x14ac:dyDescent="0.25"/>
    <row r="1789" s="3" customFormat="1" ht="12.75" x14ac:dyDescent="0.25"/>
    <row r="1790" s="3" customFormat="1" ht="12.75" x14ac:dyDescent="0.25"/>
    <row r="1791" s="3" customFormat="1" ht="12.75" x14ac:dyDescent="0.25"/>
    <row r="1792" s="3" customFormat="1" ht="12.75" x14ac:dyDescent="0.25"/>
    <row r="1793" s="3" customFormat="1" ht="12.75" x14ac:dyDescent="0.25"/>
    <row r="1794" s="3" customFormat="1" ht="12.75" x14ac:dyDescent="0.25"/>
    <row r="1795" s="3" customFormat="1" ht="12.75" x14ac:dyDescent="0.25"/>
    <row r="1796" s="3" customFormat="1" ht="12.75" x14ac:dyDescent="0.25"/>
    <row r="1797" s="3" customFormat="1" ht="12.75" x14ac:dyDescent="0.25"/>
    <row r="1798" s="3" customFormat="1" ht="12.75" x14ac:dyDescent="0.25"/>
    <row r="1799" s="3" customFormat="1" ht="12.75" x14ac:dyDescent="0.25"/>
    <row r="1800" s="3" customFormat="1" ht="12.75" x14ac:dyDescent="0.25"/>
    <row r="1801" s="3" customFormat="1" ht="12.75" x14ac:dyDescent="0.25"/>
    <row r="1802" s="3" customFormat="1" ht="12.75" x14ac:dyDescent="0.25"/>
    <row r="1803" s="3" customFormat="1" ht="12.75" x14ac:dyDescent="0.25"/>
    <row r="1804" s="3" customFormat="1" ht="12.75" x14ac:dyDescent="0.25"/>
    <row r="1805" s="3" customFormat="1" ht="12.75" x14ac:dyDescent="0.25"/>
    <row r="1806" s="3" customFormat="1" ht="12.75" x14ac:dyDescent="0.25"/>
    <row r="1807" s="3" customFormat="1" ht="12.75" x14ac:dyDescent="0.25"/>
    <row r="1808" s="3" customFormat="1" ht="12.75" x14ac:dyDescent="0.25"/>
    <row r="1809" s="3" customFormat="1" ht="12.75" x14ac:dyDescent="0.25"/>
    <row r="1810" s="3" customFormat="1" ht="12.75" x14ac:dyDescent="0.25"/>
    <row r="1811" s="3" customFormat="1" ht="12.75" x14ac:dyDescent="0.25"/>
    <row r="1812" s="3" customFormat="1" ht="12.75" x14ac:dyDescent="0.25"/>
    <row r="1813" s="3" customFormat="1" ht="12.75" x14ac:dyDescent="0.25"/>
    <row r="1814" s="3" customFormat="1" ht="12.75" x14ac:dyDescent="0.25"/>
    <row r="1815" s="3" customFormat="1" ht="12.75" x14ac:dyDescent="0.25"/>
    <row r="1816" s="3" customFormat="1" ht="12.75" x14ac:dyDescent="0.25"/>
    <row r="1817" s="3" customFormat="1" ht="12.75" x14ac:dyDescent="0.25"/>
    <row r="1818" s="3" customFormat="1" ht="12.75" x14ac:dyDescent="0.25"/>
    <row r="1819" s="3" customFormat="1" ht="12.75" x14ac:dyDescent="0.25"/>
    <row r="1820" s="3" customFormat="1" ht="12.75" x14ac:dyDescent="0.25"/>
    <row r="1821" s="3" customFormat="1" ht="12.75" x14ac:dyDescent="0.25"/>
    <row r="1822" s="3" customFormat="1" ht="12.75" x14ac:dyDescent="0.25"/>
    <row r="1823" s="3" customFormat="1" ht="12.75" x14ac:dyDescent="0.25"/>
    <row r="1824" s="3" customFormat="1" ht="12.75" x14ac:dyDescent="0.25"/>
    <row r="1825" s="3" customFormat="1" ht="12.75" x14ac:dyDescent="0.25"/>
    <row r="1826" s="3" customFormat="1" ht="12.75" x14ac:dyDescent="0.25"/>
    <row r="1827" s="3" customFormat="1" ht="12.75" x14ac:dyDescent="0.25"/>
    <row r="1828" s="3" customFormat="1" ht="12.75" x14ac:dyDescent="0.25"/>
    <row r="1829" s="3" customFormat="1" ht="12.75" x14ac:dyDescent="0.25"/>
    <row r="1830" s="3" customFormat="1" ht="12.75" x14ac:dyDescent="0.25"/>
    <row r="1831" s="3" customFormat="1" ht="12.75" x14ac:dyDescent="0.25"/>
    <row r="1832" s="3" customFormat="1" ht="12.75" x14ac:dyDescent="0.25"/>
    <row r="1833" s="3" customFormat="1" ht="12.75" x14ac:dyDescent="0.25"/>
    <row r="1834" s="3" customFormat="1" ht="12.75" x14ac:dyDescent="0.25"/>
    <row r="1835" s="3" customFormat="1" ht="12.75" x14ac:dyDescent="0.25"/>
    <row r="1836" s="3" customFormat="1" ht="12.75" x14ac:dyDescent="0.25"/>
    <row r="1837" s="3" customFormat="1" ht="12.75" x14ac:dyDescent="0.25"/>
    <row r="1838" s="3" customFormat="1" ht="12.75" x14ac:dyDescent="0.25"/>
    <row r="1839" s="3" customFormat="1" ht="12.75" x14ac:dyDescent="0.25"/>
    <row r="1840" s="3" customFormat="1" ht="12.75" x14ac:dyDescent="0.25"/>
    <row r="1841" s="3" customFormat="1" ht="12.75" x14ac:dyDescent="0.25"/>
    <row r="1842" s="3" customFormat="1" ht="12.75" x14ac:dyDescent="0.25"/>
    <row r="1843" s="3" customFormat="1" ht="12.75" x14ac:dyDescent="0.25"/>
    <row r="1844" s="3" customFormat="1" ht="12.75" x14ac:dyDescent="0.25"/>
    <row r="1845" s="3" customFormat="1" ht="12.75" x14ac:dyDescent="0.25"/>
    <row r="1846" s="3" customFormat="1" ht="12.75" x14ac:dyDescent="0.25"/>
    <row r="1847" s="3" customFormat="1" ht="12.75" x14ac:dyDescent="0.25"/>
    <row r="1848" s="3" customFormat="1" ht="12.75" x14ac:dyDescent="0.25"/>
    <row r="1849" s="3" customFormat="1" ht="12.75" x14ac:dyDescent="0.25"/>
    <row r="1850" s="3" customFormat="1" ht="12.75" x14ac:dyDescent="0.25"/>
    <row r="1851" s="3" customFormat="1" ht="12.75" x14ac:dyDescent="0.25"/>
    <row r="1852" s="3" customFormat="1" ht="12.75" x14ac:dyDescent="0.25"/>
    <row r="1853" s="3" customFormat="1" ht="12.75" x14ac:dyDescent="0.25"/>
    <row r="1854" s="3" customFormat="1" ht="12.75" x14ac:dyDescent="0.25"/>
    <row r="1855" s="3" customFormat="1" ht="12.75" x14ac:dyDescent="0.25"/>
    <row r="1856" s="3" customFormat="1" ht="12.75" x14ac:dyDescent="0.25"/>
    <row r="1857" s="3" customFormat="1" ht="12.75" x14ac:dyDescent="0.25"/>
    <row r="1858" s="3" customFormat="1" ht="12.75" x14ac:dyDescent="0.25"/>
    <row r="1859" s="3" customFormat="1" ht="12.75" x14ac:dyDescent="0.25"/>
    <row r="1860" s="3" customFormat="1" ht="12.75" x14ac:dyDescent="0.25"/>
    <row r="1861" s="3" customFormat="1" ht="12.75" x14ac:dyDescent="0.25"/>
    <row r="1862" s="3" customFormat="1" ht="12.75" x14ac:dyDescent="0.25"/>
    <row r="1863" s="3" customFormat="1" ht="12.75" x14ac:dyDescent="0.25"/>
    <row r="1864" s="3" customFormat="1" ht="12.75" x14ac:dyDescent="0.25"/>
    <row r="1865" s="3" customFormat="1" ht="12.75" x14ac:dyDescent="0.25"/>
    <row r="1866" s="3" customFormat="1" ht="12.75" x14ac:dyDescent="0.25"/>
    <row r="1867" s="3" customFormat="1" ht="12.75" x14ac:dyDescent="0.25"/>
    <row r="1868" s="3" customFormat="1" ht="12.75" x14ac:dyDescent="0.25"/>
    <row r="1869" s="3" customFormat="1" ht="12.75" x14ac:dyDescent="0.25"/>
    <row r="1870" s="3" customFormat="1" ht="12.75" x14ac:dyDescent="0.25"/>
    <row r="1871" s="3" customFormat="1" ht="12.75" x14ac:dyDescent="0.25"/>
    <row r="1872" s="3" customFormat="1" ht="12.75" x14ac:dyDescent="0.25"/>
    <row r="1873" s="3" customFormat="1" ht="12.75" x14ac:dyDescent="0.25"/>
    <row r="1874" s="3" customFormat="1" ht="12.75" x14ac:dyDescent="0.25"/>
    <row r="1875" s="3" customFormat="1" ht="12.75" x14ac:dyDescent="0.25"/>
    <row r="1876" s="3" customFormat="1" ht="12.75" x14ac:dyDescent="0.25"/>
    <row r="1877" s="3" customFormat="1" ht="12.75" x14ac:dyDescent="0.25"/>
    <row r="1878" s="3" customFormat="1" ht="12.75" x14ac:dyDescent="0.25"/>
    <row r="1879" s="3" customFormat="1" ht="12.75" x14ac:dyDescent="0.25"/>
    <row r="1880" s="3" customFormat="1" ht="12.75" x14ac:dyDescent="0.25"/>
    <row r="1881" s="3" customFormat="1" ht="12.75" x14ac:dyDescent="0.25"/>
    <row r="1882" s="3" customFormat="1" ht="12.75" x14ac:dyDescent="0.25"/>
    <row r="1883" s="3" customFormat="1" ht="12.75" x14ac:dyDescent="0.25"/>
    <row r="1884" s="3" customFormat="1" ht="12.75" x14ac:dyDescent="0.25"/>
    <row r="1885" s="3" customFormat="1" ht="12.75" x14ac:dyDescent="0.25"/>
    <row r="1886" s="3" customFormat="1" ht="12.75" x14ac:dyDescent="0.25"/>
    <row r="1887" s="3" customFormat="1" ht="12.75" x14ac:dyDescent="0.25"/>
    <row r="1888" s="3" customFormat="1" ht="12.75" x14ac:dyDescent="0.25"/>
    <row r="1889" spans="1:25" s="3" customFormat="1" ht="12.75" x14ac:dyDescent="0.25"/>
    <row r="1890" spans="1:25" s="3" customFormat="1" ht="12.75" x14ac:dyDescent="0.25"/>
    <row r="1891" spans="1:25" s="3" customFormat="1" ht="12.75" x14ac:dyDescent="0.25"/>
    <row r="1892" spans="1:25" s="3" customFormat="1" ht="12.75" x14ac:dyDescent="0.25"/>
    <row r="1893" spans="1:25" s="3" customFormat="1" ht="12.75" x14ac:dyDescent="0.25"/>
    <row r="1894" spans="1:25" s="3" customFormat="1" ht="12.75" x14ac:dyDescent="0.25"/>
    <row r="1895" spans="1:25" s="3" customFormat="1" ht="12.75" x14ac:dyDescent="0.25"/>
    <row r="1896" spans="1:25" s="3" customFormat="1" ht="12.75" x14ac:dyDescent="0.25"/>
    <row r="1897" spans="1:25" s="3" customFormat="1" ht="12.75" x14ac:dyDescent="0.25"/>
    <row r="1898" spans="1:25" s="3" customFormat="1" ht="12.75" x14ac:dyDescent="0.25"/>
    <row r="1899" spans="1:25" s="3" customFormat="1" ht="12.75" x14ac:dyDescent="0.25"/>
    <row r="1900" spans="1:25" s="3" customFormat="1" ht="12.75" x14ac:dyDescent="0.25"/>
    <row r="1901" spans="1:25" s="3" customFormat="1" ht="12.75" x14ac:dyDescent="0.25"/>
    <row r="1902" spans="1:25" s="3" customFormat="1" x14ac:dyDescent="0.25">
      <c r="A1902"/>
      <c r="C1902"/>
      <c r="D1902"/>
      <c r="E1902"/>
      <c r="F1902"/>
    </row>
    <row r="1903" spans="1:25" s="3" customFormat="1" x14ac:dyDescent="0.25">
      <c r="A1903"/>
      <c r="B1903"/>
      <c r="C1903"/>
      <c r="D1903"/>
      <c r="E1903"/>
      <c r="F1903"/>
    </row>
    <row r="1904" spans="1:25" x14ac:dyDescent="0.25"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</row>
    <row r="1905" spans="10:19" x14ac:dyDescent="0.25">
      <c r="J1905" s="3"/>
      <c r="K1905" s="3"/>
      <c r="L1905" s="3"/>
      <c r="M1905" s="3"/>
      <c r="N1905" s="3"/>
      <c r="O1905" s="3"/>
      <c r="P1905" s="3"/>
      <c r="Q1905" s="3"/>
      <c r="R1905" s="3"/>
      <c r="S1905" s="3"/>
    </row>
  </sheetData>
  <sheetProtection password="F75B" sheet="1" objects="1" scenarios="1" selectLockedCells="1"/>
  <hyperlinks>
    <hyperlink ref="L36" r:id="rId1"/>
  </hyperlinks>
  <pageMargins left="0.7" right="0.7" top="0.75" bottom="0.75" header="0.3" footer="0.3"/>
  <pageSetup paperSize="9" scale="43" orientation="portrait" horizontalDpi="1200" verticalDpi="1200" r:id="rId2"/>
  <colBreaks count="1" manualBreakCount="1">
    <brk id="17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Drop Down 1">
              <controlPr locked="0" defaultSize="0" autoLine="0" autoPict="0">
                <anchor moveWithCells="1">
                  <from>
                    <xdr:col>3</xdr:col>
                    <xdr:colOff>19050</xdr:colOff>
                    <xdr:row>3</xdr:row>
                    <xdr:rowOff>171450</xdr:rowOff>
                  </from>
                  <to>
                    <xdr:col>4</xdr:col>
                    <xdr:colOff>409575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Drop Down 16">
              <controlPr locked="0" defaultSize="0" autoLine="0" autoPict="0">
                <anchor moveWithCells="1">
                  <from>
                    <xdr:col>3</xdr:col>
                    <xdr:colOff>9525</xdr:colOff>
                    <xdr:row>5</xdr:row>
                    <xdr:rowOff>180975</xdr:rowOff>
                  </from>
                  <to>
                    <xdr:col>4</xdr:col>
                    <xdr:colOff>409575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Drop Down 17">
              <controlPr locked="0" defaultSize="0" autoLine="0" autoPict="0">
                <anchor moveWithCells="1">
                  <from>
                    <xdr:col>3</xdr:col>
                    <xdr:colOff>0</xdr:colOff>
                    <xdr:row>7</xdr:row>
                    <xdr:rowOff>180975</xdr:rowOff>
                  </from>
                  <to>
                    <xdr:col>4</xdr:col>
                    <xdr:colOff>390525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Drop Down 18">
              <controlPr locked="0" defaultSize="0" autoLine="0" autoPict="0">
                <anchor moveWithCells="1">
                  <from>
                    <xdr:col>3</xdr:col>
                    <xdr:colOff>9525</xdr:colOff>
                    <xdr:row>9</xdr:row>
                    <xdr:rowOff>161925</xdr:rowOff>
                  </from>
                  <to>
                    <xdr:col>4</xdr:col>
                    <xdr:colOff>409575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Drop Down 19">
              <controlPr locked="0" defaultSize="0" autoLine="0" autoPict="0">
                <anchor moveWithCells="1">
                  <from>
                    <xdr:col>3</xdr:col>
                    <xdr:colOff>9525</xdr:colOff>
                    <xdr:row>11</xdr:row>
                    <xdr:rowOff>171450</xdr:rowOff>
                  </from>
                  <to>
                    <xdr:col>4</xdr:col>
                    <xdr:colOff>409575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Drop Down 20">
              <controlPr locked="0" defaultSize="0" autoLine="0" autoPict="0">
                <anchor moveWithCells="1">
                  <from>
                    <xdr:col>3</xdr:col>
                    <xdr:colOff>9525</xdr:colOff>
                    <xdr:row>13</xdr:row>
                    <xdr:rowOff>171450</xdr:rowOff>
                  </from>
                  <to>
                    <xdr:col>4</xdr:col>
                    <xdr:colOff>409575</xdr:colOff>
                    <xdr:row>14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Qby</dc:creator>
  <cp:lastModifiedBy>Qby</cp:lastModifiedBy>
  <dcterms:created xsi:type="dcterms:W3CDTF">2009-12-11T09:40:17Z</dcterms:created>
  <dcterms:modified xsi:type="dcterms:W3CDTF">2012-03-01T13:42:59Z</dcterms:modified>
</cp:coreProperties>
</file>